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Servidor\NAS\Projetos\#VARZEA GRANDE 2022\# ATA NOVA 2 1 NOVOS\GONÇALO BOTELHO ATUALIZADO\GONÇALO BOTELHO 2º PARTE ATUALIZADO\ORÇAMENTO\ORÇAMENTO NÃO DESONERADO\"/>
    </mc:Choice>
  </mc:AlternateContent>
  <xr:revisionPtr revIDLastSave="0" documentId="13_ncr:1_{93A003D8-1E56-4CAA-A3B5-C6CC38AC1E50}" xr6:coauthVersionLast="45" xr6:coauthVersionMax="47" xr10:uidLastSave="{00000000-0000-0000-0000-000000000000}"/>
  <bookViews>
    <workbookView xWindow="-120" yWindow="-120" windowWidth="29040" windowHeight="15840" tabRatio="857" activeTab="1" xr2:uid="{00000000-000D-0000-FFFF-FFFF00000000}"/>
  </bookViews>
  <sheets>
    <sheet name="RESUMO" sheetId="5" r:id="rId1"/>
    <sheet name="QUANT" sheetId="2" r:id="rId2"/>
    <sheet name="ORÇA " sheetId="4" r:id="rId3"/>
    <sheet name="TRANSP" sheetId="3" r:id="rId4"/>
    <sheet name="CFF" sheetId="31" r:id="rId5"/>
    <sheet name="TERRAP E PAVIM" sheetId="19" r:id="rId6"/>
    <sheet name="BDI" sheetId="22" r:id="rId7"/>
    <sheet name="BDI DIFERENCIADO" sheetId="33" r:id="rId8"/>
    <sheet name="ALUGUEL" sheetId="39" r:id="rId9"/>
    <sheet name="SN HOR_02" sheetId="45" r:id="rId10"/>
    <sheet name="SN VERT_02" sheetId="46" r:id="rId11"/>
  </sheets>
  <externalReferences>
    <externalReference r:id="rId12"/>
    <externalReference r:id="rId13"/>
  </externalReferences>
  <definedNames>
    <definedName name="_xlnm.Print_Area" localSheetId="2">'ORÇA '!$A$1:$J$58</definedName>
    <definedName name="_xlnm.Print_Area" localSheetId="1">QUANT!$B$1:$F$54</definedName>
    <definedName name="_xlnm.Print_Area" localSheetId="3">TRANSP!$A$14:$J$34</definedName>
    <definedName name="Nível" localSheetId="2">[1]Eventograma_e_Quantitativos!$C1</definedName>
    <definedName name="_xlnm.Print_Titles" localSheetId="2">'ORÇA '!$1:$7</definedName>
    <definedName name="_xlnm.Print_Titles" localSheetId="1">QUANT!$1:$5</definedName>
    <definedName name="Z_E8D46A29_8D28_49CA_936A_9705D639E1C7_.wvu.PrintArea" localSheetId="2" hidden="1">'ORÇA '!$B$1:$J$56</definedName>
  </definedNames>
  <calcPr calcId="191029"/>
  <customWorkbookViews>
    <customWorkbookView name="PENTIUM - Modo de exibição pessoal" guid="{96D85DE4-FE1B-11D2-8AAF-0040C72A12C5}" mergeInterval="0" personalView="1" maximized="1" windowWidth="796" windowHeight="411" tabRatio="857" activeSheetId="3"/>
    <customWorkbookView name="Máquina1 - Modo de exibição pessoal" guid="{EE864208-5880-11D2-88BD-0040C708D492}" mergeInterval="0" personalView="1" maximized="1" windowWidth="796" windowHeight="411" tabRatio="857" activeSheetId="4" showComments="commIndAndComment"/>
    <customWorkbookView name="Máquina2 - Modo de exibição pessoal" guid="{F1F53240-5C6B-11D2-88BD-0040C72A12C5}" mergeInterval="0" personalView="1" maximized="1" windowWidth="796" windowHeight="411" tabRatio="857" activeSheetId="5"/>
    <customWorkbookView name="&lt;: - Modo de exibição pessoal" guid="{AFF92C80-53BE-11D2-88E1-0040C72A12C5}" mergeInterval="0" personalView="1" maximized="1" windowWidth="796" windowHeight="400" tabRatio="857" activeSheetId="3"/>
    <customWorkbookView name="ECP - Modo de exibição pessoal" guid="{0C989940-19FB-11D4-B636-00D0093DDF73}" mergeInterval="0" personalView="1" maximized="1" windowWidth="796" windowHeight="438" tabRatio="857" activeSheetId="3"/>
    <customWorkbookView name="joão - Modo de exibição pessoal" guid="{E8D46A29-8D28-49CA-936A-9705D639E1C7}" mergeInterval="0" personalView="1" maximized="1" xWindow="1" yWindow="1" windowWidth="1600" windowHeight="610" tabRatio="857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3" i="2" l="1"/>
  <c r="F55" i="4" s="1"/>
  <c r="H55" i="4"/>
  <c r="A55" i="4"/>
  <c r="B55" i="4"/>
  <c r="C55" i="4"/>
  <c r="D55" i="4"/>
  <c r="E55" i="4"/>
  <c r="W16" i="19"/>
  <c r="W13" i="19"/>
  <c r="W12" i="19"/>
  <c r="W9" i="19"/>
  <c r="W6" i="19"/>
  <c r="I55" i="4" l="1"/>
  <c r="F52" i="2" l="1"/>
  <c r="D15" i="4" l="1"/>
  <c r="D12" i="4"/>
  <c r="B15" i="4"/>
  <c r="C15" i="4"/>
  <c r="A53" i="4" l="1"/>
  <c r="B53" i="4"/>
  <c r="C53" i="4"/>
  <c r="D53" i="4"/>
  <c r="E53" i="4"/>
  <c r="A54" i="4"/>
  <c r="B54" i="4"/>
  <c r="C54" i="4"/>
  <c r="D54" i="4"/>
  <c r="E54" i="4"/>
  <c r="F54" i="4"/>
  <c r="A56" i="4"/>
  <c r="B56" i="4"/>
  <c r="C56" i="4"/>
  <c r="D56" i="4"/>
  <c r="E56" i="4"/>
  <c r="B52" i="4"/>
  <c r="C52" i="4"/>
  <c r="D52" i="4"/>
  <c r="E52" i="4"/>
  <c r="A52" i="4"/>
  <c r="X13" i="19" l="1"/>
  <c r="X12" i="19"/>
  <c r="X9" i="19"/>
  <c r="X6" i="19"/>
  <c r="X16" i="19" l="1"/>
  <c r="A2" i="33"/>
  <c r="B2" i="33"/>
  <c r="A3" i="33"/>
  <c r="A4" i="33"/>
  <c r="E10" i="33"/>
  <c r="E16" i="33"/>
  <c r="E19" i="33"/>
  <c r="E25" i="33"/>
  <c r="P16" i="19" l="1"/>
  <c r="F16" i="2" s="1"/>
  <c r="F18" i="4" s="1"/>
  <c r="AB27" i="31" l="1"/>
  <c r="Z27" i="31"/>
  <c r="AA28" i="31" s="1"/>
  <c r="B8" i="5"/>
  <c r="B7" i="31" s="1"/>
  <c r="N13" i="19"/>
  <c r="M12" i="19"/>
  <c r="E49" i="4"/>
  <c r="F9" i="4" l="1"/>
  <c r="C9" i="4"/>
  <c r="E9" i="4"/>
  <c r="A9" i="4"/>
  <c r="B9" i="4"/>
  <c r="B8" i="4"/>
  <c r="A8" i="4"/>
  <c r="A8" i="5" s="1"/>
  <c r="A7" i="31" s="1"/>
  <c r="A30" i="4"/>
  <c r="C12" i="4"/>
  <c r="C14" i="4"/>
  <c r="C18" i="4"/>
  <c r="C19" i="4"/>
  <c r="C20" i="4"/>
  <c r="C21" i="4"/>
  <c r="C24" i="4"/>
  <c r="C25" i="4"/>
  <c r="C30" i="4"/>
  <c r="C40" i="4"/>
  <c r="C43" i="4"/>
  <c r="F15" i="4"/>
  <c r="C32" i="5"/>
  <c r="G5" i="4" l="1"/>
  <c r="F3" i="2" l="1"/>
  <c r="B1" i="3"/>
  <c r="F32" i="2" l="1"/>
  <c r="F51" i="2"/>
  <c r="F46" i="2"/>
  <c r="F45" i="2"/>
  <c r="F44" i="2"/>
  <c r="F38" i="2"/>
  <c r="F37" i="2"/>
  <c r="F24" i="2"/>
  <c r="F19" i="2"/>
  <c r="F17" i="2"/>
  <c r="F18" i="2"/>
  <c r="H19" i="19"/>
  <c r="F54" i="2"/>
  <c r="F56" i="4" s="1"/>
  <c r="F47" i="2"/>
  <c r="E23" i="46"/>
  <c r="E19" i="46"/>
  <c r="E18" i="46"/>
  <c r="E15" i="46"/>
  <c r="E14" i="46"/>
  <c r="E11" i="46"/>
  <c r="E10" i="46"/>
  <c r="E7" i="46"/>
  <c r="E6" i="46"/>
  <c r="E22" i="46" s="1"/>
  <c r="C26" i="45"/>
  <c r="C22" i="45"/>
  <c r="C17" i="45"/>
  <c r="E13" i="45"/>
  <c r="C12" i="45"/>
  <c r="E12" i="45" s="1"/>
  <c r="E10" i="45"/>
  <c r="F17" i="45" s="1"/>
  <c r="C24" i="45" s="1"/>
  <c r="E9" i="45"/>
  <c r="C9" i="45"/>
  <c r="E7" i="45"/>
  <c r="C6" i="45"/>
  <c r="C16" i="45" s="1"/>
  <c r="F50" i="2" l="1"/>
  <c r="F52" i="4" s="1"/>
  <c r="F53" i="4"/>
  <c r="C18" i="45"/>
  <c r="C21" i="45"/>
  <c r="E6" i="45"/>
  <c r="F16" i="45" s="1"/>
  <c r="F48" i="4"/>
  <c r="F47" i="4"/>
  <c r="V13" i="19"/>
  <c r="S7" i="19"/>
  <c r="S10" i="19"/>
  <c r="U10" i="19" s="1"/>
  <c r="S13" i="19"/>
  <c r="U13" i="19" s="1"/>
  <c r="Q7" i="19"/>
  <c r="Q10" i="19"/>
  <c r="Q13" i="19"/>
  <c r="R7" i="19"/>
  <c r="R10" i="19"/>
  <c r="R13" i="19"/>
  <c r="H12" i="19"/>
  <c r="M13" i="19"/>
  <c r="P13" i="19"/>
  <c r="T13" i="19"/>
  <c r="N1" i="19"/>
  <c r="T10" i="19"/>
  <c r="P10" i="19"/>
  <c r="N10" i="19"/>
  <c r="M10" i="19"/>
  <c r="H9" i="19"/>
  <c r="R9" i="19" s="1"/>
  <c r="A3" i="22"/>
  <c r="B2" i="22"/>
  <c r="D3" i="4"/>
  <c r="A3" i="2"/>
  <c r="A1" i="3" s="1"/>
  <c r="A2" i="2"/>
  <c r="A2" i="22" s="1"/>
  <c r="C2" i="2"/>
  <c r="C3" i="2"/>
  <c r="A40" i="4"/>
  <c r="B40" i="4"/>
  <c r="E40" i="4"/>
  <c r="O16" i="19"/>
  <c r="F25" i="2" s="1"/>
  <c r="F27" i="4" s="1"/>
  <c r="A29" i="4"/>
  <c r="E43" i="4"/>
  <c r="B43" i="4"/>
  <c r="A43" i="4"/>
  <c r="E42" i="4"/>
  <c r="C42" i="4"/>
  <c r="B42" i="4"/>
  <c r="A42" i="4"/>
  <c r="E41" i="4"/>
  <c r="C41" i="4"/>
  <c r="B41" i="4"/>
  <c r="A41" i="4"/>
  <c r="E27" i="4"/>
  <c r="C27" i="4"/>
  <c r="B27" i="4"/>
  <c r="E30" i="4"/>
  <c r="E29" i="4"/>
  <c r="E28" i="4"/>
  <c r="C29" i="4"/>
  <c r="C28" i="4"/>
  <c r="B30" i="4"/>
  <c r="B29" i="4"/>
  <c r="B28" i="4"/>
  <c r="B26" i="4"/>
  <c r="B25" i="4"/>
  <c r="B12" i="3"/>
  <c r="A12" i="3"/>
  <c r="B6" i="3"/>
  <c r="A6" i="3"/>
  <c r="C26" i="4"/>
  <c r="E26" i="4"/>
  <c r="E25" i="4"/>
  <c r="T7" i="19"/>
  <c r="U7" i="19"/>
  <c r="P7" i="19"/>
  <c r="N7" i="19"/>
  <c r="N16" i="19" s="1"/>
  <c r="F23" i="2" s="1"/>
  <c r="M7" i="19"/>
  <c r="H6" i="19"/>
  <c r="R6" i="19" s="1"/>
  <c r="D6" i="4"/>
  <c r="A4" i="22"/>
  <c r="E10" i="22"/>
  <c r="E16" i="22"/>
  <c r="E25" i="22" s="1"/>
  <c r="D5" i="4" s="1"/>
  <c r="H54" i="4" s="1"/>
  <c r="I54" i="4" s="1"/>
  <c r="E19" i="22"/>
  <c r="A19" i="3"/>
  <c r="B19" i="3"/>
  <c r="B20" i="3"/>
  <c r="A26" i="3"/>
  <c r="B26" i="3"/>
  <c r="A27" i="3"/>
  <c r="B27" i="3"/>
  <c r="A33" i="3"/>
  <c r="B33" i="3"/>
  <c r="A1" i="4"/>
  <c r="J3" i="4"/>
  <c r="D4" i="4"/>
  <c r="J4" i="4"/>
  <c r="A7" i="4"/>
  <c r="B7" i="4"/>
  <c r="C7" i="4"/>
  <c r="A11" i="4"/>
  <c r="A11" i="5" s="1"/>
  <c r="A10" i="31" s="1"/>
  <c r="B11" i="5"/>
  <c r="B10" i="31" s="1"/>
  <c r="A12" i="4"/>
  <c r="B12" i="4"/>
  <c r="E12" i="4"/>
  <c r="F12" i="4"/>
  <c r="A13" i="4"/>
  <c r="B13" i="4"/>
  <c r="C13" i="4"/>
  <c r="E13" i="4"/>
  <c r="F13" i="4"/>
  <c r="A14" i="4"/>
  <c r="B14" i="4"/>
  <c r="E14" i="4"/>
  <c r="F14" i="4"/>
  <c r="A15" i="4"/>
  <c r="E15" i="4"/>
  <c r="A17" i="4"/>
  <c r="A14" i="5" s="1"/>
  <c r="A13" i="31" s="1"/>
  <c r="B14" i="5"/>
  <c r="B13" i="31" s="1"/>
  <c r="A18" i="4"/>
  <c r="B18" i="4"/>
  <c r="E18" i="4"/>
  <c r="A19" i="4"/>
  <c r="B19" i="4"/>
  <c r="E19" i="4"/>
  <c r="A20" i="4"/>
  <c r="B20" i="4"/>
  <c r="E20" i="4"/>
  <c r="A21" i="4"/>
  <c r="B21" i="4"/>
  <c r="E21" i="4"/>
  <c r="A23" i="4"/>
  <c r="A17" i="5" s="1"/>
  <c r="A16" i="31" s="1"/>
  <c r="B2" i="3"/>
  <c r="A24" i="4"/>
  <c r="B24" i="4"/>
  <c r="E24" i="4"/>
  <c r="A32" i="4"/>
  <c r="A15" i="3" s="1"/>
  <c r="B15" i="3"/>
  <c r="A33" i="4"/>
  <c r="B33" i="4"/>
  <c r="C33" i="4"/>
  <c r="E33" i="4"/>
  <c r="A34" i="4"/>
  <c r="B34" i="4"/>
  <c r="C34" i="4"/>
  <c r="E34" i="4"/>
  <c r="A35" i="4"/>
  <c r="B35" i="4"/>
  <c r="C35" i="4"/>
  <c r="E35" i="4"/>
  <c r="A36" i="4"/>
  <c r="B36" i="4"/>
  <c r="C36" i="4"/>
  <c r="E36" i="4"/>
  <c r="A37" i="4"/>
  <c r="E37" i="4"/>
  <c r="A38" i="4"/>
  <c r="E38" i="4"/>
  <c r="A39" i="4"/>
  <c r="B39" i="4"/>
  <c r="C39" i="4"/>
  <c r="E39" i="4"/>
  <c r="A45" i="4"/>
  <c r="A23" i="5" s="1"/>
  <c r="A22" i="31" s="1"/>
  <c r="B23" i="5"/>
  <c r="B22" i="31" s="1"/>
  <c r="A46" i="4"/>
  <c r="B46" i="4"/>
  <c r="C46" i="4"/>
  <c r="E46" i="4"/>
  <c r="A47" i="4"/>
  <c r="B47" i="4"/>
  <c r="C47" i="4"/>
  <c r="E47" i="4"/>
  <c r="A48" i="4"/>
  <c r="B48" i="4"/>
  <c r="C48" i="4"/>
  <c r="E48" i="4"/>
  <c r="A49" i="4"/>
  <c r="B49" i="4"/>
  <c r="C49" i="4"/>
  <c r="F49" i="4"/>
  <c r="A51" i="4"/>
  <c r="A26" i="5" s="1"/>
  <c r="A25" i="31" s="1"/>
  <c r="B27" i="5"/>
  <c r="B25" i="31" s="1"/>
  <c r="X9" i="31"/>
  <c r="X12" i="31"/>
  <c r="X15" i="31"/>
  <c r="X18" i="31"/>
  <c r="X21" i="31"/>
  <c r="X24" i="31"/>
  <c r="X27" i="31"/>
  <c r="Y30" i="31"/>
  <c r="F26" i="4"/>
  <c r="T12" i="19"/>
  <c r="P12" i="19"/>
  <c r="T6" i="19"/>
  <c r="V6" i="19"/>
  <c r="P6" i="19"/>
  <c r="H34" i="4" l="1"/>
  <c r="H14" i="4"/>
  <c r="H9" i="4"/>
  <c r="H56" i="4"/>
  <c r="H42" i="4"/>
  <c r="H33" i="4"/>
  <c r="H21" i="4"/>
  <c r="H12" i="4"/>
  <c r="H53" i="4"/>
  <c r="H41" i="4"/>
  <c r="H30" i="4"/>
  <c r="H20" i="4"/>
  <c r="H52" i="4"/>
  <c r="H40" i="4"/>
  <c r="H29" i="4"/>
  <c r="H19" i="4"/>
  <c r="H27" i="4"/>
  <c r="H46" i="4"/>
  <c r="H15" i="4"/>
  <c r="H49" i="4"/>
  <c r="H39" i="4"/>
  <c r="H28" i="4"/>
  <c r="H18" i="4"/>
  <c r="H48" i="4"/>
  <c r="H38" i="4"/>
  <c r="H36" i="4"/>
  <c r="H43" i="4"/>
  <c r="H24" i="4"/>
  <c r="H47" i="4"/>
  <c r="H37" i="4"/>
  <c r="H26" i="4"/>
  <c r="H13" i="4"/>
  <c r="H25" i="4"/>
  <c r="H35" i="4"/>
  <c r="A2" i="3"/>
  <c r="D6" i="3"/>
  <c r="H6" i="3" s="1"/>
  <c r="J6" i="3" s="1"/>
  <c r="J7" i="3" s="1"/>
  <c r="C23" i="45"/>
  <c r="F18" i="45"/>
  <c r="C25" i="45"/>
  <c r="P9" i="19"/>
  <c r="T9" i="19"/>
  <c r="S12" i="19"/>
  <c r="U12" i="19" s="1"/>
  <c r="A20" i="5"/>
  <c r="A19" i="31" s="1"/>
  <c r="B17" i="5"/>
  <c r="B16" i="31" s="1"/>
  <c r="H16" i="19"/>
  <c r="M16" i="19"/>
  <c r="B20" i="5"/>
  <c r="B19" i="31" s="1"/>
  <c r="Q12" i="19"/>
  <c r="S9" i="19"/>
  <c r="U9" i="19" s="1"/>
  <c r="V12" i="19"/>
  <c r="V9" i="19"/>
  <c r="V16" i="19" s="1"/>
  <c r="T16" i="19"/>
  <c r="F36" i="2" s="1"/>
  <c r="F38" i="4" s="1"/>
  <c r="Q9" i="19"/>
  <c r="R12" i="19"/>
  <c r="S6" i="19"/>
  <c r="Q6" i="19"/>
  <c r="I26" i="4" l="1"/>
  <c r="I12" i="4"/>
  <c r="I53" i="4"/>
  <c r="I13" i="4"/>
  <c r="I27" i="4"/>
  <c r="I47" i="4"/>
  <c r="I49" i="4"/>
  <c r="I48" i="4"/>
  <c r="I15" i="4"/>
  <c r="I56" i="4"/>
  <c r="I14" i="4"/>
  <c r="I9" i="4"/>
  <c r="J9" i="4" s="1"/>
  <c r="C8" i="5" s="1"/>
  <c r="E7" i="31" s="1"/>
  <c r="F22" i="2"/>
  <c r="F24" i="4" s="1"/>
  <c r="I38" i="4"/>
  <c r="F26" i="2"/>
  <c r="F28" i="4" s="1"/>
  <c r="F25" i="4"/>
  <c r="F28" i="2"/>
  <c r="F30" i="4" s="1"/>
  <c r="D12" i="3"/>
  <c r="H12" i="3" s="1"/>
  <c r="J12" i="3" s="1"/>
  <c r="J13" i="3" s="1"/>
  <c r="F31" i="2"/>
  <c r="I5" i="4"/>
  <c r="F21" i="4"/>
  <c r="U6" i="19"/>
  <c r="U16" i="19" s="1"/>
  <c r="S16" i="19"/>
  <c r="F35" i="2" s="1"/>
  <c r="F37" i="4" s="1"/>
  <c r="Q16" i="19"/>
  <c r="R16" i="19"/>
  <c r="J15" i="4" l="1"/>
  <c r="C11" i="5" s="1"/>
  <c r="F33" i="4"/>
  <c r="I33" i="4" s="1"/>
  <c r="I37" i="4"/>
  <c r="I30" i="4"/>
  <c r="I25" i="4"/>
  <c r="I21" i="4"/>
  <c r="I24" i="4"/>
  <c r="I28" i="4"/>
  <c r="I52" i="4"/>
  <c r="J56" i="4" s="1"/>
  <c r="F27" i="2"/>
  <c r="F29" i="4" s="1"/>
  <c r="F46" i="4"/>
  <c r="F40" i="4"/>
  <c r="F20" i="4"/>
  <c r="F34" i="2"/>
  <c r="F19" i="4"/>
  <c r="F33" i="2"/>
  <c r="F35" i="4" s="1"/>
  <c r="F34" i="4"/>
  <c r="C26" i="5" l="1"/>
  <c r="E25" i="31" s="1"/>
  <c r="I25" i="31" s="1"/>
  <c r="I19" i="4"/>
  <c r="I20" i="4"/>
  <c r="I40" i="4"/>
  <c r="I34" i="4"/>
  <c r="I18" i="4"/>
  <c r="E10" i="31"/>
  <c r="I29" i="4"/>
  <c r="J30" i="4" s="1"/>
  <c r="C17" i="5" s="1"/>
  <c r="E16" i="31" s="1"/>
  <c r="I46" i="4"/>
  <c r="J49" i="4" s="1"/>
  <c r="C23" i="5" s="1"/>
  <c r="E22" i="31" s="1"/>
  <c r="L22" i="31" s="1"/>
  <c r="F36" i="4"/>
  <c r="D27" i="3"/>
  <c r="H27" i="3" s="1"/>
  <c r="J27" i="3" s="1"/>
  <c r="D20" i="3"/>
  <c r="H20" i="3" s="1"/>
  <c r="J20" i="3" s="1"/>
  <c r="D33" i="3"/>
  <c r="H33" i="3" s="1"/>
  <c r="J33" i="3" s="1"/>
  <c r="J34" i="3" s="1"/>
  <c r="F41" i="2" s="1"/>
  <c r="F43" i="4" s="1"/>
  <c r="F39" i="4"/>
  <c r="D19" i="3"/>
  <c r="H19" i="3" s="1"/>
  <c r="J19" i="3" s="1"/>
  <c r="D26" i="3"/>
  <c r="H26" i="3" s="1"/>
  <c r="J26" i="3" s="1"/>
  <c r="F25" i="31" l="1"/>
  <c r="R25" i="31"/>
  <c r="L25" i="31"/>
  <c r="O25" i="31"/>
  <c r="U25" i="31"/>
  <c r="J21" i="4"/>
  <c r="C14" i="5" s="1"/>
  <c r="E13" i="31" s="1"/>
  <c r="L13" i="31" s="1"/>
  <c r="I39" i="4"/>
  <c r="I36" i="4"/>
  <c r="I35" i="4"/>
  <c r="I43" i="4"/>
  <c r="F10" i="31"/>
  <c r="AB12" i="31"/>
  <c r="I10" i="31"/>
  <c r="R10" i="31"/>
  <c r="U10" i="31"/>
  <c r="L10" i="31"/>
  <c r="O10" i="31"/>
  <c r="U22" i="31"/>
  <c r="R22" i="31"/>
  <c r="O16" i="31"/>
  <c r="F16" i="31"/>
  <c r="L16" i="31"/>
  <c r="I16" i="31"/>
  <c r="J28" i="3"/>
  <c r="F40" i="2" s="1"/>
  <c r="F42" i="4" s="1"/>
  <c r="J21" i="3"/>
  <c r="F39" i="2" s="1"/>
  <c r="R7" i="31"/>
  <c r="U7" i="31"/>
  <c r="F7" i="31"/>
  <c r="I7" i="31"/>
  <c r="L7" i="31"/>
  <c r="O7" i="31"/>
  <c r="X16" i="31" l="1"/>
  <c r="X25" i="31"/>
  <c r="F56" i="2"/>
  <c r="F60" i="4" s="1"/>
  <c r="O13" i="31"/>
  <c r="R13" i="31"/>
  <c r="R29" i="31" s="1"/>
  <c r="I13" i="31"/>
  <c r="U13" i="31"/>
  <c r="U29" i="31" s="1"/>
  <c r="F13" i="31"/>
  <c r="I42" i="4"/>
  <c r="X10" i="31"/>
  <c r="Y10" i="31" s="1"/>
  <c r="X22" i="31"/>
  <c r="Y22" i="31" s="1"/>
  <c r="F41" i="4"/>
  <c r="X7" i="31"/>
  <c r="Y7" i="31" s="1"/>
  <c r="Y25" i="31" l="1"/>
  <c r="X13" i="31"/>
  <c r="Y13" i="31" s="1"/>
  <c r="I41" i="4"/>
  <c r="J43" i="4" s="1"/>
  <c r="J58" i="4" s="1"/>
  <c r="F59" i="4"/>
  <c r="F61" i="4" s="1"/>
  <c r="C20" i="5" l="1"/>
  <c r="C30" i="5" s="1"/>
  <c r="L9" i="4"/>
  <c r="E19" i="31" l="1"/>
  <c r="E28" i="31" s="1"/>
  <c r="C33" i="5"/>
  <c r="D7" i="31" l="1"/>
  <c r="D10" i="31"/>
  <c r="E32" i="31"/>
  <c r="F19" i="31"/>
  <c r="F29" i="31" s="1"/>
  <c r="I19" i="31"/>
  <c r="I29" i="31" s="1"/>
  <c r="O19" i="31"/>
  <c r="O29" i="31" s="1"/>
  <c r="L19" i="31"/>
  <c r="L29" i="31" s="1"/>
  <c r="L28" i="31" l="1"/>
  <c r="O28" i="31"/>
  <c r="I28" i="31"/>
  <c r="D19" i="31"/>
  <c r="R28" i="31"/>
  <c r="D13" i="31"/>
  <c r="D16" i="31"/>
  <c r="D22" i="31"/>
  <c r="U28" i="31"/>
  <c r="D25" i="31"/>
  <c r="X19" i="31"/>
  <c r="Y28" i="31" s="1"/>
  <c r="D28" i="31" l="1"/>
  <c r="Y19" i="31"/>
  <c r="F28" i="31"/>
  <c r="X28" i="31" s="1"/>
  <c r="X29" i="31"/>
  <c r="F30" i="31"/>
  <c r="I30" i="31" s="1"/>
  <c r="L30" i="31" s="1"/>
  <c r="O30" i="31" s="1"/>
  <c r="R30" i="31" s="1"/>
  <c r="U30" i="31" s="1"/>
</calcChain>
</file>

<file path=xl/sharedStrings.xml><?xml version="1.0" encoding="utf-8"?>
<sst xmlns="http://schemas.openxmlformats.org/spreadsheetml/2006/main" count="627" uniqueCount="321">
  <si>
    <t>DISCRIMINAÇÃO</t>
  </si>
  <si>
    <t>UNIDADE</t>
  </si>
  <si>
    <t>QUANTIDADE</t>
  </si>
  <si>
    <t>TERRAPLENAGEM</t>
  </si>
  <si>
    <t>m³</t>
  </si>
  <si>
    <t>PAVIMENTAÇÃO</t>
  </si>
  <si>
    <t>m²</t>
  </si>
  <si>
    <t>m</t>
  </si>
  <si>
    <t>unid</t>
  </si>
  <si>
    <t>OBRAS COMPLEMENTARES</t>
  </si>
  <si>
    <t>x</t>
  </si>
  <si>
    <t>UNID.</t>
  </si>
  <si>
    <t>QUANT.</t>
  </si>
  <si>
    <t>P. UNIT.</t>
  </si>
  <si>
    <t>SUBTOTAL</t>
  </si>
  <si>
    <t>TOTAL</t>
  </si>
  <si>
    <t>CÓDIGO</t>
  </si>
  <si>
    <t>SERVIÇO</t>
  </si>
  <si>
    <t>MATERIAL</t>
  </si>
  <si>
    <t>UNID</t>
  </si>
  <si>
    <t>F.UTILIZAÇÃO</t>
  </si>
  <si>
    <t>PESO(T) A TRANSPORTAR</t>
  </si>
  <si>
    <t>DMT(KM)</t>
  </si>
  <si>
    <t>MOMENTO DE TRANSPORTE(t.km)</t>
  </si>
  <si>
    <t>FATOR</t>
  </si>
  <si>
    <t>Solo</t>
  </si>
  <si>
    <t>t/m³</t>
  </si>
  <si>
    <t>2 S 02 200 01</t>
  </si>
  <si>
    <t>II</t>
  </si>
  <si>
    <t>III</t>
  </si>
  <si>
    <t>IV</t>
  </si>
  <si>
    <t>SERVIÇOS PRELIMINARES</t>
  </si>
  <si>
    <t>V</t>
  </si>
  <si>
    <t xml:space="preserve">ANEXO </t>
  </si>
  <si>
    <t>VALOR (R$)</t>
  </si>
  <si>
    <t>VI</t>
  </si>
  <si>
    <t>TOTAL  GERAL</t>
  </si>
  <si>
    <t>ITEM</t>
  </si>
  <si>
    <t>2.0</t>
  </si>
  <si>
    <t>3.0</t>
  </si>
  <si>
    <t>3.2</t>
  </si>
  <si>
    <t>OBRA</t>
  </si>
  <si>
    <t>PAVIMENTAÇÃO DE VIAS URBANAS</t>
  </si>
  <si>
    <t>4.0</t>
  </si>
  <si>
    <t>4.1</t>
  </si>
  <si>
    <t>5.0</t>
  </si>
  <si>
    <t>ÁREA (m²)</t>
  </si>
  <si>
    <t>3.1</t>
  </si>
  <si>
    <t>5.1</t>
  </si>
  <si>
    <t>2.1</t>
  </si>
  <si>
    <t>1.0</t>
  </si>
  <si>
    <t>1.1</t>
  </si>
  <si>
    <t>1.2</t>
  </si>
  <si>
    <t>5.2</t>
  </si>
  <si>
    <t>Aluguel container/sanit c/2 vasos/1 lavat/1 mic/4 chuv larg2,20m compr=6,20m alt=2,50m chapa aco c/nerv trapez forro c/isolam termo/acustico chassis reforc piso compens naval inclinst eletr/hidr excl transp/carga/descarga</t>
  </si>
  <si>
    <t>mês</t>
  </si>
  <si>
    <t>3.3</t>
  </si>
  <si>
    <t>3.4</t>
  </si>
  <si>
    <t>txkm</t>
  </si>
  <si>
    <t>massa</t>
  </si>
  <si>
    <t>TERRAPLENAGEM E PAVIMENTAÇÃO</t>
  </si>
  <si>
    <t>LOGRADOURO</t>
  </si>
  <si>
    <t>ESTACAS</t>
  </si>
  <si>
    <t>EXTENSÃO (m)</t>
  </si>
  <si>
    <t>LARGURA TOTAL  (m)</t>
  </si>
  <si>
    <t>SUBLEITO (m²)</t>
  </si>
  <si>
    <t>SUB-BASE (m³)</t>
  </si>
  <si>
    <t>BASE (m³)</t>
  </si>
  <si>
    <t>IMPRIM. (m²)</t>
  </si>
  <si>
    <t>MEIO-FIO C/ SARJETA  (m)</t>
  </si>
  <si>
    <t>INICIAL</t>
  </si>
  <si>
    <t>FINAL</t>
  </si>
  <si>
    <t>FOLGA</t>
  </si>
  <si>
    <t xml:space="preserve">LARGURA DA PISTA </t>
  </si>
  <si>
    <t>CORTE (m³)</t>
  </si>
  <si>
    <t>ATERRO (m³)</t>
  </si>
  <si>
    <t xml:space="preserve">LE </t>
  </si>
  <si>
    <t>LD</t>
  </si>
  <si>
    <t>+</t>
  </si>
  <si>
    <t>PINTURA DE LIGAÇÃO. (m²)</t>
  </si>
  <si>
    <t xml:space="preserve"> RESUMO  DOS  PREÇOS</t>
  </si>
  <si>
    <t xml:space="preserve">SERVIÇOS                    </t>
  </si>
  <si>
    <t xml:space="preserve">BATA BASE:  </t>
  </si>
  <si>
    <t xml:space="preserve">ÁREA (m²): </t>
  </si>
  <si>
    <t>DATA BASE:</t>
  </si>
  <si>
    <t>LIMPEZA CAMADA VEGETAL (m²)</t>
  </si>
  <si>
    <t>Despesas Financeiras</t>
  </si>
  <si>
    <t>Riscos</t>
  </si>
  <si>
    <t>CPRB</t>
  </si>
  <si>
    <t>PERCENTUAL</t>
  </si>
  <si>
    <t>BDI</t>
  </si>
  <si>
    <t>CUSTO OBRA</t>
  </si>
  <si>
    <t>Outras Fontes</t>
  </si>
  <si>
    <t>VALOR DA OBRA</t>
  </si>
  <si>
    <t>( % )</t>
  </si>
  <si>
    <t>R$</t>
  </si>
  <si>
    <t>ADMINISTRAÇÃO DA OBRA</t>
  </si>
  <si>
    <t>Administração Central</t>
  </si>
  <si>
    <t>1.3</t>
  </si>
  <si>
    <t>LUCRO</t>
  </si>
  <si>
    <t>Lucro Operacional</t>
  </si>
  <si>
    <t>TRIBUTOS</t>
  </si>
  <si>
    <t>Não incidem IRPJ e CSLL na composição de Tributos.</t>
  </si>
  <si>
    <t xml:space="preserve">TAXA DE BDI A SER APLICADA 
SOBRE O CUSTO DIRETO </t>
  </si>
  <si>
    <t xml:space="preserve">De acordo com o ACÓRDÃO Nº 2622/2013 – TCU – Plenário </t>
  </si>
  <si>
    <t>PREFEITURA MUNICIPAL DE VÁRZEA GRANDE</t>
  </si>
  <si>
    <t xml:space="preserve">B.D.I. </t>
  </si>
  <si>
    <t>Limpeza mecanizada de área com remoção de camada vegetal, utilizando motoniveladora</t>
  </si>
  <si>
    <t>Regularização e compactação de subleito até 20 cm de espessura</t>
  </si>
  <si>
    <t>Execução e compactação de sub base com solo estabilizado granulometricamente - exclusive escavação, carga e transporte e solo. af_09/2017</t>
  </si>
  <si>
    <t>Execução e compactação de base com solo estabilizado granulometricamente - exclusive escavação, carga e transporte e solo. af_09/2017</t>
  </si>
  <si>
    <t>6.0</t>
  </si>
  <si>
    <t>SINALIZAÇÃO HORIZONTAL/VERTICAL</t>
  </si>
  <si>
    <t>6.1</t>
  </si>
  <si>
    <t>Sinalizacao horizontal com tinta retrorrefletiva a base de resina acrilica  c/ micro esfera de vidro</t>
  </si>
  <si>
    <t>6.2</t>
  </si>
  <si>
    <t>6.3</t>
  </si>
  <si>
    <t>SENTIDO</t>
  </si>
  <si>
    <t>COMPRIMENTO</t>
  </si>
  <si>
    <t>ESPESSURA</t>
  </si>
  <si>
    <t>Área</t>
  </si>
  <si>
    <t>TIPO DE PINTURA</t>
  </si>
  <si>
    <t>(m)</t>
  </si>
  <si>
    <t>(m²)</t>
  </si>
  <si>
    <t>Ambos (ida e volta)</t>
  </si>
  <si>
    <t>2X4</t>
  </si>
  <si>
    <t>Contínua</t>
  </si>
  <si>
    <t>FAIXA AMARELA</t>
  </si>
  <si>
    <t xml:space="preserve">TOTAL </t>
  </si>
  <si>
    <t>EXTENSÃO TOTAL</t>
  </si>
  <si>
    <t>RESUMO DA SINALIZAÇÃO</t>
  </si>
  <si>
    <t>FAIXA BRANCA CONTÍNUA</t>
  </si>
  <si>
    <t>FAIXA AMARELA 2X4</t>
  </si>
  <si>
    <t>FAIXA AMARELA CONTÍNUA</t>
  </si>
  <si>
    <t>TOTAL DE PINTURA DE FAIXAS</t>
  </si>
  <si>
    <t>LOCAL - Dist.</t>
  </si>
  <si>
    <t>OBSERVAÇÕES</t>
  </si>
  <si>
    <t>do bordo (Metros)</t>
  </si>
  <si>
    <t>TIPO</t>
  </si>
  <si>
    <t>DIMENSÕES</t>
  </si>
  <si>
    <t>ÁREAS(m²)</t>
  </si>
  <si>
    <t>Regulamentação</t>
  </si>
  <si>
    <t>TOTAL (m²)</t>
  </si>
  <si>
    <t>VII</t>
  </si>
  <si>
    <t>Prazo ( dias consecutivos )</t>
  </si>
  <si>
    <t>Ítem</t>
  </si>
  <si>
    <t>Etapas de Serviço</t>
  </si>
  <si>
    <t>%</t>
  </si>
  <si>
    <t>Valor (R$)</t>
  </si>
  <si>
    <t>TOTAL ( % e R$ )</t>
  </si>
  <si>
    <t>DESEMBOLSO</t>
  </si>
  <si>
    <t xml:space="preserve"> SIMPLES</t>
  </si>
  <si>
    <t>ACUMULADO</t>
  </si>
  <si>
    <t>Limpa rodas</t>
  </si>
  <si>
    <t>1.4</t>
  </si>
  <si>
    <t>Seguro e Garantia</t>
  </si>
  <si>
    <t>PIS</t>
  </si>
  <si>
    <t>COFINS</t>
  </si>
  <si>
    <t>ISSqn</t>
  </si>
  <si>
    <t>Formula para o calculo do BDI:</t>
  </si>
  <si>
    <t>Indicativa</t>
  </si>
  <si>
    <t>I-01</t>
  </si>
  <si>
    <t>Descontínua</t>
  </si>
  <si>
    <t>ENSAIOS TECNOLÓGICOS DE SOLO E ASFALTO</t>
  </si>
  <si>
    <t>Ensaio de regularição de sub-leito</t>
  </si>
  <si>
    <t>Ensaio de base estabilizada granulometricamente</t>
  </si>
  <si>
    <t>un</t>
  </si>
  <si>
    <t>Ensaio de Sub-base estabilizada granulometricamente)</t>
  </si>
  <si>
    <t>7.0</t>
  </si>
  <si>
    <t>7.1</t>
  </si>
  <si>
    <t>FAIXA BRANCA RETENÇÃO 0,40m</t>
  </si>
  <si>
    <t>Ensaio de resistência a compressão simples do concreto - meio-fio, sarjetas e calçadas 
(considerado 1,0 amostra a cada 200 m)</t>
  </si>
  <si>
    <t>ADMINISTRAÇÃO LOCAL</t>
  </si>
  <si>
    <t>Execução de depósito em canteiro de obra</t>
  </si>
  <si>
    <r>
      <t>(</t>
    </r>
    <r>
      <rPr>
        <sz val="10"/>
        <color indexed="10"/>
        <rFont val="Times New Roman"/>
        <family val="1"/>
      </rPr>
      <t>M980</t>
    </r>
    <r>
      <rPr>
        <sz val="10"/>
        <rFont val="Times New Roman"/>
        <family val="1"/>
      </rPr>
      <t>) (S/C)</t>
    </r>
  </si>
  <si>
    <t>Indenização de jazida não condiz com o preço praticado na região (Preço praticado na jazida)</t>
  </si>
  <si>
    <t>5.4</t>
  </si>
  <si>
    <t>5.5</t>
  </si>
  <si>
    <t>5.6</t>
  </si>
  <si>
    <t>5.7</t>
  </si>
  <si>
    <t>5.8</t>
  </si>
  <si>
    <t>5.9</t>
  </si>
  <si>
    <t>5.10</t>
  </si>
  <si>
    <t>Construção de pavimento com aplicação de concreto betuminoso usinado a quente (cbuq), camada de rolamento, com espessura de 4,0 cm  exclusive transporte. af_03/2017</t>
  </si>
  <si>
    <t>sinapi</t>
  </si>
  <si>
    <t>SECO</t>
  </si>
  <si>
    <t>Encargo mensalista</t>
  </si>
  <si>
    <t>custo unit</t>
  </si>
  <si>
    <t>Confecção de placa em aço nº 16 galvanizado, com película retrorrefletiva tipo I + III</t>
  </si>
  <si>
    <t>Pintura de setas e zebrados - tinta base acrílica - espessura de 0,6 mm</t>
  </si>
  <si>
    <t>CODIGO</t>
  </si>
  <si>
    <t>BANCO</t>
  </si>
  <si>
    <t>SINAPI</t>
  </si>
  <si>
    <t>SICRO 3</t>
  </si>
  <si>
    <t>COTAÇÃO</t>
  </si>
  <si>
    <t>m³xkm</t>
  </si>
  <si>
    <t>MOMENTO DE TRANSPORTE(m³.km)</t>
  </si>
  <si>
    <t>B.D.I. DIFERENCIADO</t>
  </si>
  <si>
    <t>7.2</t>
  </si>
  <si>
    <t>Placa esmaltada para identificação NR de Rua, dimensões 45X25cm</t>
  </si>
  <si>
    <t>Fornecimento e implantação de suporte metálico galvanizado para placa de regulamentação - R1 - lado de 0,248 m</t>
  </si>
  <si>
    <t>6.4</t>
  </si>
  <si>
    <t>Tipo de transporte 95878 Transporte local em rodov. pavim. (const.)</t>
  </si>
  <si>
    <t>Tipo  de transporte 93595  -  Transporte  local em rodovia  não  pavimentada (const)</t>
  </si>
  <si>
    <t>m³/m³</t>
  </si>
  <si>
    <t>Tipo  de transporte 93589  -  Transporte  local em rodovia  não  pavimentada (const)</t>
  </si>
  <si>
    <t>Tipo de transporte  95875 Transporte local em rodov. pavim. (const.)</t>
  </si>
  <si>
    <t>Transporte com caminhão basculante de 10 m3, em via urbana pavimentada, dmt até 30 km (unidade: tonxkm). af_12/2016</t>
  </si>
  <si>
    <t>Tipo  de transporte 95303  -  Transporte  comercial c/basculante de massa asfáltica</t>
  </si>
  <si>
    <t>Transporte com caminhão basculante de 10 m3, em via urbana em revestimento primário (unidade: tonxkm). af_04/2016</t>
  </si>
  <si>
    <t>EXTENSÃO:</t>
  </si>
  <si>
    <t>A</t>
  </si>
  <si>
    <t>PREFEITURA MUNICIPAL DE VÁZEA GRANDE</t>
  </si>
  <si>
    <t>P. UNIT. C/BDI</t>
  </si>
  <si>
    <t>CBUQ  (m³)</t>
  </si>
  <si>
    <t>OBRA: Pavimentação de Vias Urbanas</t>
  </si>
  <si>
    <t>LOGRADOUROS</t>
  </si>
  <si>
    <t>4.4</t>
  </si>
  <si>
    <t>Escavacao mecanica de material 1a. categoria, proveniente de corte de subleito (c/trator esteiras 160hp)</t>
  </si>
  <si>
    <t>4.6</t>
  </si>
  <si>
    <t>4.7</t>
  </si>
  <si>
    <t>Transporte com caminhão basculante de 10 m3, em via urbana em revestimento primário (unidade: txkm). af_04/2016</t>
  </si>
  <si>
    <t>Transporte com caminhão basculante de 10 m3, em via urbana pavimentada, dmt até 30 km (unidade: txkm). af_12/2016</t>
  </si>
  <si>
    <t>Espalhamento de material em bota fora, com utilização de trator de esteiras de 165 hp</t>
  </si>
  <si>
    <t>4.3</t>
  </si>
  <si>
    <t>Compactação de aterros a 100% do Proctor intermediário</t>
  </si>
  <si>
    <t>SINAL DE PLACA</t>
  </si>
  <si>
    <t>R-01</t>
  </si>
  <si>
    <t>45X25 CM</t>
  </si>
  <si>
    <t>TOTAL (un)</t>
  </si>
  <si>
    <t>4.2</t>
  </si>
  <si>
    <t>4.5</t>
  </si>
  <si>
    <t>NÃO DESONERADO</t>
  </si>
  <si>
    <t>Transporte com caminhão basculante 10 m3 de massa asfáltica para pavimentação urbana</t>
  </si>
  <si>
    <t>5.3</t>
  </si>
  <si>
    <t>BDI - BENEFICIOS E DESPESAS INDIRETAS - NÃO DESONERADO</t>
  </si>
  <si>
    <t>Escavação, carga e transporte de material de 1ª categoria - DMT de 400 a 600 m - caminho de serviço em revestimento</t>
  </si>
  <si>
    <t>I</t>
  </si>
  <si>
    <t>Carga e descarga de material betuminoso a quente com caminhão basculante 6m3, descarga em vibro-acabadora</t>
  </si>
  <si>
    <t>5.11</t>
  </si>
  <si>
    <t>TOTAL/KM (R$)</t>
  </si>
  <si>
    <t>BAIRRO</t>
  </si>
  <si>
    <t>Composição SINAPI - 73847/001</t>
  </si>
  <si>
    <t>Código</t>
  </si>
  <si>
    <t xml:space="preserve"> 73847/001 </t>
  </si>
  <si>
    <t>Descrição</t>
  </si>
  <si>
    <t>ALUGUEL CONTAINER/ESCRIT INCL INST ELET LARG=2,20 COMP=6,20M          ALT=2,50M CHAPA ACO C/NERV TRAPEZ FORRO C/ISOL TERMO/ACUSTICO         CHASSIS REFORC PISO COMPENS NAVAL EXC TRANSP/CARGA/DESCARGA</t>
  </si>
  <si>
    <t>Data</t>
  </si>
  <si>
    <t xml:space="preserve"> 11/2018 </t>
  </si>
  <si>
    <t>Estado</t>
  </si>
  <si>
    <t>Mato Grosso</t>
  </si>
  <si>
    <t>Tipo</t>
  </si>
  <si>
    <t>CANT - CANTEIRO DE OBRAS</t>
  </si>
  <si>
    <t>Unidade</t>
  </si>
  <si>
    <t>MES</t>
  </si>
  <si>
    <t>codigo</t>
  </si>
  <si>
    <t>Valor sem Desoneração</t>
  </si>
  <si>
    <t>Coeficiente</t>
  </si>
  <si>
    <t xml:space="preserve"> 00010776 </t>
  </si>
  <si>
    <t>LOCACAO DE CONTAINER 2,30  X  6,00 M, ALT. 2,50 M, PARA ESCRITORIO, SEM DIVISORIAS INTERNAS E SEM SANITARIO</t>
  </si>
  <si>
    <t>Equipamento</t>
  </si>
  <si>
    <t>1,0</t>
  </si>
  <si>
    <t>Guia (meio-fio) e sarjeta conjugados de concreto, moldada i n loco em trecho
curvo com extrusora, guia 13 cm base x 22 cm altura. af_06/2016</t>
  </si>
  <si>
    <t>Guia (meio-fio) e sarjeta conjugados de concreto, moldada i n loco em trecho
reto com extrusora, guia 13 cm base x 22 cm altura. af_06/2016</t>
  </si>
  <si>
    <t xml:space="preserve">BAIRRO: </t>
  </si>
  <si>
    <t>SETAS, ZEBRADOS E LETRAS</t>
  </si>
  <si>
    <t>Pavimentação de Vias Urbanas</t>
  </si>
  <si>
    <t>GONÇALO BOTELHO</t>
  </si>
  <si>
    <t>RUA JATAÍ</t>
  </si>
  <si>
    <t>RUA NEREU BOTELHO</t>
  </si>
  <si>
    <t xml:space="preserve"> RUA CARLOS GOMES</t>
  </si>
  <si>
    <t>Limpa rodas 2 (dois)</t>
  </si>
  <si>
    <r>
      <t xml:space="preserve">NOTA DE  SERVIÇO DE  SINALIZAÇÃO  HORIZONTAL - </t>
    </r>
    <r>
      <rPr>
        <b/>
        <sz val="10"/>
        <rFont val="Times New Roman"/>
        <family val="1"/>
      </rPr>
      <t>FAIXA AMARELA</t>
    </r>
    <r>
      <rPr>
        <sz val="10"/>
        <color indexed="13"/>
        <rFont val="Times New Roman"/>
        <family val="1"/>
      </rPr>
      <t xml:space="preserve"> </t>
    </r>
    <r>
      <rPr>
        <sz val="10"/>
        <rFont val="Times New Roman"/>
        <family val="1"/>
      </rPr>
      <t>- COLINAS VERDEJANTES</t>
    </r>
  </si>
  <si>
    <t>Rua Jataí</t>
  </si>
  <si>
    <t>Rua Nereu Botelho</t>
  </si>
  <si>
    <t>Rua Professora Líbia Rondon da Costa</t>
  </si>
  <si>
    <t>Rua Carlos Gomes</t>
  </si>
  <si>
    <t xml:space="preserve"> m</t>
  </si>
  <si>
    <t>NOTA  DE  SERVIÇO DE SINALIZAÇÃO VERTICAL GONÇALO BOTELHO</t>
  </si>
  <si>
    <t>Esquina com a Rua Professora Líbia Rondon da Costa e Rua Carlos Gomes(posicionar a 10 metros do bordo da pista transversal)</t>
  </si>
  <si>
    <t>Esquina com a Av. Souza Lima (posicionar a 10 metros do bordo da pista transversal)</t>
  </si>
  <si>
    <t>Esquina com a Av. Souza Lima e Rua Carlos Gomes (posicionar a 10 metros do bordo da pista transversal)</t>
  </si>
  <si>
    <t>PLANILHA ORÇAMENTÁRIA (NÃO DESONERADO)</t>
  </si>
  <si>
    <t>Administração Local</t>
  </si>
  <si>
    <t>ABRIL/2022 SICRO 3</t>
  </si>
  <si>
    <t>Bairro: GONÇALO BOTELHO</t>
  </si>
  <si>
    <t>Ruas: Jataí, Nereu Botelho e Carlos Gomes</t>
  </si>
  <si>
    <t>COMP. 3.1 (74021/003)</t>
  </si>
  <si>
    <t>COMP. 3.2 (74021/006)</t>
  </si>
  <si>
    <t>COMP. 3.3 (74021/006)</t>
  </si>
  <si>
    <t>COMP. 3.4 (74022/030)</t>
  </si>
  <si>
    <t>COMP. 4.1 (73822/002)</t>
  </si>
  <si>
    <t>COMP. 4.2 (74205/001)</t>
  </si>
  <si>
    <t>COMP. 4.7 (83344)</t>
  </si>
  <si>
    <t>COMP. 5.8 (72891)</t>
  </si>
  <si>
    <t>COMP. 5.11 (95303)</t>
  </si>
  <si>
    <t>COMP. 6.1 (72947)</t>
  </si>
  <si>
    <t>COMP. 7.3 (73916/002)</t>
  </si>
  <si>
    <t>PRÓPRIO</t>
  </si>
  <si>
    <t>2.2</t>
  </si>
  <si>
    <t>2.3</t>
  </si>
  <si>
    <t>2.4</t>
  </si>
  <si>
    <t>BAIRRO: GONÇALO BOTELHO</t>
  </si>
  <si>
    <t>COMP. 1.1</t>
  </si>
  <si>
    <t>COMP. 2.1 (74209/001)</t>
  </si>
  <si>
    <t>COMP. 2.3 (73847/001)</t>
  </si>
  <si>
    <t>Ensaio de Sub-base estabilizada granulometricamente</t>
  </si>
  <si>
    <t xml:space="preserve"> 5502136 </t>
  </si>
  <si>
    <t xml:space="preserve"> 100576 </t>
  </si>
  <si>
    <t>Placa de obra em chapa de aço galvanizado (Placa do Governo Federal)</t>
  </si>
  <si>
    <t>Placa de obra em chapa de aço galvanizado (Placa da prefitura de Varzea Grande-MT)</t>
  </si>
  <si>
    <t>7.4</t>
  </si>
  <si>
    <t>CALÇADA  (m3)</t>
  </si>
  <si>
    <t>Execução de passeio (calçada) ou piso de concreto com concreto moldado in loco, usinado, acabamento convencional, não armado. Af_07/2016</t>
  </si>
  <si>
    <t>7.3</t>
  </si>
  <si>
    <t>SETEMBRO/2022 SINAPI</t>
  </si>
  <si>
    <t>Piso podotátil, direcional ou alerta, assentado sobre argamassa AF 05/2020</t>
  </si>
  <si>
    <t>PISO TATIL  (m)</t>
  </si>
  <si>
    <t>7.5</t>
  </si>
  <si>
    <t>Execução de imprimação com asfalto diluído CM-30. Af_11/2019 (PREÇO COLETADO CAIXA NA ANP SEM ICMS) Índices de Reajustamentos de ObrasRodoviárias do DNIT (SICRO)</t>
  </si>
  <si>
    <t>Execução de pintura de ligação com emulsão asfáltica RR-2C. Af_11/2019 (PREÇO COLETADO CAIXA NA ANP SEM ICMS) Índices de Reajustamentos de ObrasRodoviárias do DNIT (SICRO)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</si>
</sst>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_(&quot;$&quot;* #,##0.00_);_(&quot;$&quot;* \(#,##0.00\);_(&quot;$&quot;* &quot;-&quot;??_);_(@_)"/>
    <numFmt numFmtId="168" formatCode="mmmm\-yy"/>
    <numFmt numFmtId="169" formatCode="#,##0.000"/>
    <numFmt numFmtId="170" formatCode="0.000"/>
    <numFmt numFmtId="171" formatCode="&quot;Cr$&quot;#,##0_);\(&quot;Cr$&quot;#,##0\)"/>
    <numFmt numFmtId="172" formatCode="_(* #,##0.0000_);_(* \(#,##0.0000\);_(* &quot;-&quot;??_);_(@_)"/>
    <numFmt numFmtId="173" formatCode="_(* #,##0.00_);_(* \(#,##0.00\);_(* \-??_);_(@_)"/>
    <numFmt numFmtId="174" formatCode="_([$€-2]* #,##0.00_);_([$€-2]* \(#,##0.00\);_([$€-2]* &quot;-&quot;??_)"/>
    <numFmt numFmtId="175" formatCode="0.0%"/>
    <numFmt numFmtId="176" formatCode="#,##0.000_);[Red]\(#,##0.000\)"/>
    <numFmt numFmtId="177" formatCode="[$-F800]dddd\,\ mmmm\ dd\,\ yyyy"/>
    <numFmt numFmtId="178" formatCode="#,##0.000;[Red]#,##0.000"/>
    <numFmt numFmtId="179" formatCode="#,##0.00_ ;[Red]\-#,##0.00\ "/>
  </numFmts>
  <fonts count="9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color indexed="8"/>
      <name val="Arial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Helv"/>
      <charset val="204"/>
    </font>
    <font>
      <b/>
      <sz val="8"/>
      <name val="Times New Roman"/>
      <family val="1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34"/>
      <name val="Arial"/>
      <family val="2"/>
    </font>
    <font>
      <b/>
      <sz val="10"/>
      <color indexed="9"/>
      <name val="Arial"/>
      <family val="2"/>
    </font>
    <font>
      <sz val="10"/>
      <color indexed="34"/>
      <name val="Arial"/>
      <family val="2"/>
    </font>
    <font>
      <sz val="10"/>
      <color indexed="32"/>
      <name val="Arial"/>
      <family val="2"/>
    </font>
    <font>
      <u/>
      <sz val="9"/>
      <color indexed="12"/>
      <name val="Arial"/>
      <family val="2"/>
    </font>
    <font>
      <sz val="10"/>
      <color indexed="36"/>
      <name val="Arial"/>
      <family val="2"/>
    </font>
    <font>
      <sz val="10"/>
      <color indexed="37"/>
      <name val="Arial"/>
      <family val="2"/>
    </font>
    <font>
      <sz val="10"/>
      <name val="Times New Roman"/>
      <family val="1"/>
      <charset val="204"/>
    </font>
    <font>
      <b/>
      <sz val="10"/>
      <color indexed="22"/>
      <name val="Arial"/>
      <family val="2"/>
    </font>
    <font>
      <i/>
      <sz val="10"/>
      <color indexed="23"/>
      <name val="Arial"/>
      <family val="2"/>
    </font>
    <font>
      <b/>
      <sz val="15"/>
      <color indexed="32"/>
      <name val="Arial"/>
      <family val="2"/>
    </font>
    <font>
      <b/>
      <sz val="18"/>
      <color indexed="32"/>
      <name val="Cambria"/>
      <family val="1"/>
    </font>
    <font>
      <b/>
      <sz val="13"/>
      <color indexed="32"/>
      <name val="Arial"/>
      <family val="2"/>
    </font>
    <font>
      <b/>
      <sz val="11"/>
      <color indexed="32"/>
      <name val="Arial"/>
      <family val="2"/>
    </font>
    <font>
      <sz val="10"/>
      <name val="Arial"/>
      <family val="2"/>
      <charset val="1"/>
    </font>
    <font>
      <sz val="10"/>
      <name val="Arial"/>
      <family val="2"/>
      <charset val="204"/>
    </font>
    <font>
      <sz val="12"/>
      <color indexed="8"/>
      <name val="Calibri"/>
      <family val="2"/>
    </font>
    <font>
      <sz val="10"/>
      <color indexed="10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2"/>
      <color indexed="8"/>
      <name val="Arial"/>
      <family val="2"/>
    </font>
    <font>
      <b/>
      <sz val="9"/>
      <name val="Times New Roman"/>
      <family val="1"/>
    </font>
    <font>
      <b/>
      <sz val="11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b/>
      <sz val="14"/>
      <name val="Arial"/>
      <family val="2"/>
    </font>
    <font>
      <sz val="10"/>
      <color indexed="13"/>
      <name val="Times New Roman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rial"/>
      <family val="1"/>
    </font>
    <font>
      <sz val="9"/>
      <color rgb="FF333333"/>
      <name val="Arial"/>
      <family val="2"/>
    </font>
    <font>
      <b/>
      <sz val="12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sz val="8"/>
      <name val="Arial"/>
      <family val="2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11"/>
        <bgColor indexed="11"/>
      </patternFill>
    </fill>
    <fill>
      <patternFill patternType="solid">
        <fgColor indexed="3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36"/>
        <bgColor indexed="3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10"/>
        <bgColor indexed="10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rgb="FFFFFFFF"/>
      </patternFill>
    </fill>
  </fills>
  <borders count="10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0"/>
      </left>
      <right style="double">
        <color indexed="0"/>
      </right>
      <top style="double">
        <color indexed="0"/>
      </top>
      <bottom style="double">
        <color indexed="0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3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3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2"/>
      </top>
      <bottom style="double">
        <color indexed="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91">
    <xf numFmtId="0" fontId="0" fillId="0" borderId="0"/>
    <xf numFmtId="0" fontId="3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2" fillId="2" borderId="0" applyNumberFormat="0" applyFont="0" applyFill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2" fillId="2" borderId="0" applyNumberFormat="0" applyFont="0" applyFill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2" fillId="3" borderId="0" applyNumberFormat="0" applyFont="0" applyFill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2" fillId="3" borderId="0" applyNumberFormat="0" applyFont="0" applyFill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2" fillId="4" borderId="0" applyNumberFormat="0" applyFont="0" applyFill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2" fillId="4" borderId="0" applyNumberFormat="0" applyFont="0" applyFill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7" borderId="0" applyNumberFormat="0" applyBorder="0" applyAlignment="0" applyProtection="0"/>
    <xf numFmtId="0" fontId="2" fillId="2" borderId="0" applyNumberFormat="0" applyFont="0" applyFill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7" borderId="0" applyNumberFormat="0" applyBorder="0" applyAlignment="0" applyProtection="0"/>
    <xf numFmtId="0" fontId="2" fillId="2" borderId="0" applyNumberFormat="0" applyFont="0" applyFill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2" fillId="4" borderId="0" applyNumberFormat="0" applyFont="0" applyFill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2" fillId="4" borderId="0" applyNumberFormat="0" applyFont="0" applyFill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2" fillId="3" borderId="0" applyNumberFormat="0" applyFont="0" applyFill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2" fillId="3" borderId="0" applyNumberFormat="0" applyFont="0" applyFill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1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2" fillId="2" borderId="0" applyNumberFormat="0" applyFont="0" applyFill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2" fillId="2" borderId="0" applyNumberFormat="0" applyFont="0" applyFill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2" fillId="9" borderId="0" applyNumberFormat="0" applyFont="0" applyFill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2" fillId="9" borderId="0" applyNumberFormat="0" applyFont="0" applyFill="0" applyProtection="0"/>
    <xf numFmtId="0" fontId="13" fillId="9" borderId="0" applyNumberFormat="0" applyBorder="0" applyAlignment="0" applyProtection="0"/>
    <xf numFmtId="0" fontId="13" fillId="11" borderId="0" applyNumberFormat="0" applyBorder="0" applyAlignment="0" applyProtection="0"/>
    <xf numFmtId="0" fontId="13" fillId="13" borderId="0" applyNumberFormat="0" applyBorder="0" applyAlignment="0" applyProtection="0"/>
    <xf numFmtId="0" fontId="2" fillId="14" borderId="0" applyNumberFormat="0" applyFont="0" applyFill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3" borderId="0" applyNumberFormat="0" applyBorder="0" applyAlignment="0" applyProtection="0"/>
    <xf numFmtId="0" fontId="2" fillId="14" borderId="0" applyNumberFormat="0" applyFont="0" applyFill="0" applyProtection="0"/>
    <xf numFmtId="0" fontId="13" fillId="11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2" fillId="2" borderId="0" applyNumberFormat="0" applyFont="0" applyFill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2" fillId="2" borderId="0" applyNumberFormat="0" applyFont="0" applyFill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2" fillId="2" borderId="0" applyNumberFormat="0" applyFont="0" applyFill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2" fillId="2" borderId="0" applyNumberFormat="0" applyFont="0" applyFill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10" borderId="0" applyNumberFormat="0" applyBorder="0" applyAlignment="0" applyProtection="0"/>
    <xf numFmtId="0" fontId="2" fillId="15" borderId="0" applyNumberFormat="0" applyFont="0" applyFill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0" borderId="0" applyNumberFormat="0" applyBorder="0" applyAlignment="0" applyProtection="0"/>
    <xf numFmtId="0" fontId="2" fillId="15" borderId="0" applyNumberFormat="0" applyFont="0" applyFill="0" applyProtection="0"/>
    <xf numFmtId="0" fontId="13" fillId="12" borderId="0" applyNumberFormat="0" applyBorder="0" applyAlignment="0" applyProtection="0"/>
    <xf numFmtId="0" fontId="14" fillId="16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41" fillId="16" borderId="0" applyNumberFormat="0" applyFont="0" applyFill="0" applyProtection="0"/>
    <xf numFmtId="0" fontId="41" fillId="16" borderId="0" applyNumberFormat="0" applyFont="0" applyFill="0" applyProtection="0"/>
    <xf numFmtId="0" fontId="14" fillId="6" borderId="0" applyNumberFormat="0" applyBorder="0" applyAlignment="0" applyProtection="0"/>
    <xf numFmtId="0" fontId="41" fillId="16" borderId="0" applyNumberFormat="0" applyFont="0" applyFill="0" applyProtection="0"/>
    <xf numFmtId="0" fontId="14" fillId="16" borderId="0" applyNumberFormat="0" applyBorder="0" applyAlignment="0" applyProtection="0"/>
    <xf numFmtId="0" fontId="41" fillId="16" borderId="0" applyNumberFormat="0" applyFont="0" applyFill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41" fillId="9" borderId="0" applyNumberFormat="0" applyFont="0" applyFill="0" applyProtection="0"/>
    <xf numFmtId="0" fontId="41" fillId="9" borderId="0" applyNumberFormat="0" applyFont="0" applyFill="0" applyProtection="0"/>
    <xf numFmtId="0" fontId="14" fillId="20" borderId="0" applyNumberFormat="0" applyBorder="0" applyAlignment="0" applyProtection="0"/>
    <xf numFmtId="0" fontId="41" fillId="9" borderId="0" applyNumberFormat="0" applyFont="0" applyFill="0" applyProtection="0"/>
    <xf numFmtId="0" fontId="14" fillId="9" borderId="0" applyNumberFormat="0" applyBorder="0" applyAlignment="0" applyProtection="0"/>
    <xf numFmtId="0" fontId="41" fillId="9" borderId="0" applyNumberFormat="0" applyFont="0" applyFill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41" fillId="14" borderId="0" applyNumberFormat="0" applyFont="0" applyFill="0" applyProtection="0"/>
    <xf numFmtId="0" fontId="41" fillId="14" borderId="0" applyNumberFormat="0" applyFont="0" applyFill="0" applyProtection="0"/>
    <xf numFmtId="0" fontId="14" fillId="12" borderId="0" applyNumberFormat="0" applyBorder="0" applyAlignment="0" applyProtection="0"/>
    <xf numFmtId="0" fontId="41" fillId="14" borderId="0" applyNumberFormat="0" applyFont="0" applyFill="0" applyProtection="0"/>
    <xf numFmtId="0" fontId="14" fillId="11" borderId="0" applyNumberFormat="0" applyBorder="0" applyAlignment="0" applyProtection="0"/>
    <xf numFmtId="0" fontId="41" fillId="14" borderId="0" applyNumberFormat="0" applyFont="0" applyFill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41" fillId="21" borderId="0" applyNumberFormat="0" applyFont="0" applyFill="0" applyProtection="0"/>
    <xf numFmtId="0" fontId="41" fillId="21" borderId="0" applyNumberFormat="0" applyFont="0" applyFill="0" applyProtection="0"/>
    <xf numFmtId="0" fontId="14" fillId="3" borderId="0" applyNumberFormat="0" applyBorder="0" applyAlignment="0" applyProtection="0"/>
    <xf numFmtId="0" fontId="41" fillId="21" borderId="0" applyNumberFormat="0" applyFont="0" applyFill="0" applyProtection="0"/>
    <xf numFmtId="0" fontId="14" fillId="17" borderId="0" applyNumberFormat="0" applyBorder="0" applyAlignment="0" applyProtection="0"/>
    <xf numFmtId="0" fontId="41" fillId="21" borderId="0" applyNumberFormat="0" applyFont="0" applyFill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41" fillId="18" borderId="0" applyNumberFormat="0" applyFont="0" applyFill="0" applyProtection="0"/>
    <xf numFmtId="0" fontId="41" fillId="18" borderId="0" applyNumberFormat="0" applyFont="0" applyFill="0" applyProtection="0"/>
    <xf numFmtId="0" fontId="14" fillId="6" borderId="0" applyNumberFormat="0" applyBorder="0" applyAlignment="0" applyProtection="0"/>
    <xf numFmtId="0" fontId="41" fillId="18" borderId="0" applyNumberFormat="0" applyFont="0" applyFill="0" applyProtection="0"/>
    <xf numFmtId="0" fontId="14" fillId="18" borderId="0" applyNumberFormat="0" applyBorder="0" applyAlignment="0" applyProtection="0"/>
    <xf numFmtId="0" fontId="41" fillId="18" borderId="0" applyNumberFormat="0" applyFont="0" applyFill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41" fillId="15" borderId="0" applyNumberFormat="0" applyFont="0" applyFill="0" applyProtection="0"/>
    <xf numFmtId="0" fontId="41" fillId="15" borderId="0" applyNumberFormat="0" applyFont="0" applyFill="0" applyProtection="0"/>
    <xf numFmtId="0" fontId="14" fillId="9" borderId="0" applyNumberFormat="0" applyBorder="0" applyAlignment="0" applyProtection="0"/>
    <xf numFmtId="0" fontId="41" fillId="15" borderId="0" applyNumberFormat="0" applyFont="0" applyFill="0" applyProtection="0"/>
    <xf numFmtId="0" fontId="14" fillId="19" borderId="0" applyNumberFormat="0" applyBorder="0" applyAlignment="0" applyProtection="0"/>
    <xf numFmtId="0" fontId="41" fillId="15" borderId="0" applyNumberFormat="0" applyFont="0" applyFill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20" borderId="0" applyNumberFormat="0" applyBorder="0" applyAlignment="0" applyProtection="0"/>
    <xf numFmtId="0" fontId="21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42" fillId="4" borderId="0" applyNumberFormat="0" applyFont="0" applyFill="0" applyProtection="0"/>
    <xf numFmtId="0" fontId="42" fillId="4" borderId="0" applyNumberFormat="0" applyFont="0" applyFill="0" applyProtection="0"/>
    <xf numFmtId="0" fontId="15" fillId="6" borderId="0" applyNumberFormat="0" applyBorder="0" applyAlignment="0" applyProtection="0"/>
    <xf numFmtId="0" fontId="42" fillId="4" borderId="0" applyNumberFormat="0" applyFont="0" applyFill="0" applyProtection="0"/>
    <xf numFmtId="0" fontId="15" fillId="4" borderId="0" applyNumberFormat="0" applyBorder="0" applyAlignment="0" applyProtection="0"/>
    <xf numFmtId="0" fontId="42" fillId="4" borderId="0" applyNumberFormat="0" applyFont="0" applyFill="0" applyProtection="0"/>
    <xf numFmtId="0" fontId="30" fillId="25" borderId="1" applyNumberFormat="0" applyAlignment="0" applyProtection="0"/>
    <xf numFmtId="0" fontId="30" fillId="25" borderId="1" applyNumberFormat="0" applyAlignment="0" applyProtection="0"/>
    <xf numFmtId="0" fontId="30" fillId="25" borderId="1" applyNumberFormat="0" applyAlignment="0" applyProtection="0"/>
    <xf numFmtId="0" fontId="43" fillId="27" borderId="1" applyNumberFormat="0" applyFont="0" applyProtection="0"/>
    <xf numFmtId="0" fontId="30" fillId="25" borderId="1" applyNumberFormat="0" applyAlignment="0" applyProtection="0"/>
    <xf numFmtId="0" fontId="16" fillId="26" borderId="1" applyNumberFormat="0" applyAlignment="0" applyProtection="0"/>
    <xf numFmtId="0" fontId="43" fillId="27" borderId="1" applyNumberFormat="0" applyFont="0" applyProtection="0"/>
    <xf numFmtId="0" fontId="30" fillId="25" borderId="1" applyNumberFormat="0" applyAlignment="0" applyProtection="0"/>
    <xf numFmtId="0" fontId="43" fillId="27" borderId="1" applyNumberFormat="0" applyFont="0" applyProtection="0"/>
    <xf numFmtId="0" fontId="2" fillId="0" borderId="0"/>
    <xf numFmtId="0" fontId="17" fillId="28" borderId="2" applyNumberFormat="0" applyAlignment="0" applyProtection="0"/>
    <xf numFmtId="0" fontId="17" fillId="28" borderId="2" applyNumberFormat="0" applyAlignment="0" applyProtection="0"/>
    <xf numFmtId="0" fontId="44" fillId="28" borderId="3" applyNumberFormat="0" applyFont="0" applyProtection="0"/>
    <xf numFmtId="0" fontId="17" fillId="28" borderId="2" applyNumberFormat="0" applyAlignment="0" applyProtection="0"/>
    <xf numFmtId="0" fontId="17" fillId="28" borderId="2" applyNumberFormat="0" applyAlignment="0" applyProtection="0"/>
    <xf numFmtId="0" fontId="44" fillId="28" borderId="3" applyNumberFormat="0" applyFont="0" applyProtection="0"/>
    <xf numFmtId="0" fontId="17" fillId="28" borderId="2" applyNumberFormat="0" applyAlignment="0" applyProtection="0"/>
    <xf numFmtId="0" fontId="44" fillId="28" borderId="3" applyNumberFormat="0" applyFont="0" applyProtection="0"/>
    <xf numFmtId="0" fontId="31" fillId="0" borderId="5" applyNumberFormat="0" applyFill="0" applyAlignment="0" applyProtection="0"/>
    <xf numFmtId="0" fontId="31" fillId="0" borderId="5" applyNumberFormat="0" applyFill="0" applyAlignment="0" applyProtection="0"/>
    <xf numFmtId="0" fontId="45" fillId="0" borderId="6" applyNumberFormat="0" applyFont="0" applyAlignment="0" applyProtection="0"/>
    <xf numFmtId="0" fontId="31" fillId="0" borderId="5" applyNumberFormat="0" applyFill="0" applyAlignment="0" applyProtection="0"/>
    <xf numFmtId="0" fontId="18" fillId="0" borderId="4" applyNumberFormat="0" applyFill="0" applyAlignment="0" applyProtection="0"/>
    <xf numFmtId="0" fontId="45" fillId="0" borderId="6" applyNumberFormat="0" applyFont="0" applyAlignment="0" applyProtection="0"/>
    <xf numFmtId="0" fontId="31" fillId="0" borderId="5" applyNumberFormat="0" applyFill="0" applyAlignment="0" applyProtection="0"/>
    <xf numFmtId="0" fontId="45" fillId="0" borderId="6" applyNumberFormat="0" applyFont="0" applyAlignment="0" applyProtection="0"/>
    <xf numFmtId="0" fontId="17" fillId="28" borderId="2" applyNumberFormat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41" fillId="22" borderId="0" applyNumberFormat="0" applyFont="0" applyFill="0" applyProtection="0"/>
    <xf numFmtId="0" fontId="41" fillId="22" borderId="0" applyNumberFormat="0" applyFont="0" applyFill="0" applyProtection="0"/>
    <xf numFmtId="0" fontId="14" fillId="29" borderId="0" applyNumberFormat="0" applyBorder="0" applyAlignment="0" applyProtection="0"/>
    <xf numFmtId="0" fontId="41" fillId="22" borderId="0" applyNumberFormat="0" applyFont="0" applyFill="0" applyProtection="0"/>
    <xf numFmtId="0" fontId="14" fillId="22" borderId="0" applyNumberFormat="0" applyBorder="0" applyAlignment="0" applyProtection="0"/>
    <xf numFmtId="0" fontId="41" fillId="22" borderId="0" applyNumberFormat="0" applyFont="0" applyFill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41" fillId="30" borderId="0" applyNumberFormat="0" applyFont="0" applyFill="0" applyProtection="0"/>
    <xf numFmtId="0" fontId="41" fillId="30" borderId="0" applyNumberFormat="0" applyFont="0" applyFill="0" applyProtection="0"/>
    <xf numFmtId="0" fontId="14" fillId="20" borderId="0" applyNumberFormat="0" applyBorder="0" applyAlignment="0" applyProtection="0"/>
    <xf numFmtId="0" fontId="41" fillId="30" borderId="0" applyNumberFormat="0" applyFont="0" applyFill="0" applyProtection="0"/>
    <xf numFmtId="0" fontId="14" fillId="23" borderId="0" applyNumberFormat="0" applyBorder="0" applyAlignment="0" applyProtection="0"/>
    <xf numFmtId="0" fontId="41" fillId="30" borderId="0" applyNumberFormat="0" applyFont="0" applyFill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41" fillId="31" borderId="0" applyNumberFormat="0" applyFont="0" applyFill="0" applyProtection="0"/>
    <xf numFmtId="0" fontId="41" fillId="31" borderId="0" applyNumberFormat="0" applyFont="0" applyFill="0" applyProtection="0"/>
    <xf numFmtId="0" fontId="14" fillId="12" borderId="0" applyNumberFormat="0" applyBorder="0" applyAlignment="0" applyProtection="0"/>
    <xf numFmtId="0" fontId="41" fillId="31" borderId="0" applyNumberFormat="0" applyFont="0" applyFill="0" applyProtection="0"/>
    <xf numFmtId="0" fontId="14" fillId="24" borderId="0" applyNumberFormat="0" applyBorder="0" applyAlignment="0" applyProtection="0"/>
    <xf numFmtId="0" fontId="41" fillId="31" borderId="0" applyNumberFormat="0" applyFont="0" applyFill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41" fillId="21" borderId="0" applyNumberFormat="0" applyFont="0" applyFill="0" applyProtection="0"/>
    <xf numFmtId="0" fontId="41" fillId="21" borderId="0" applyNumberFormat="0" applyFont="0" applyFill="0" applyProtection="0"/>
    <xf numFmtId="0" fontId="14" fillId="32" borderId="0" applyNumberFormat="0" applyBorder="0" applyAlignment="0" applyProtection="0"/>
    <xf numFmtId="0" fontId="41" fillId="21" borderId="0" applyNumberFormat="0" applyFont="0" applyFill="0" applyProtection="0"/>
    <xf numFmtId="0" fontId="14" fillId="17" borderId="0" applyNumberFormat="0" applyBorder="0" applyAlignment="0" applyProtection="0"/>
    <xf numFmtId="0" fontId="41" fillId="21" borderId="0" applyNumberFormat="0" applyFont="0" applyFill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41" fillId="18" borderId="0" applyNumberFormat="0" applyFont="0" applyFill="0" applyProtection="0"/>
    <xf numFmtId="0" fontId="41" fillId="18" borderId="0" applyNumberFormat="0" applyFont="0" applyFill="0" applyProtection="0"/>
    <xf numFmtId="0" fontId="14" fillId="18" borderId="0" applyNumberFormat="0" applyBorder="0" applyAlignment="0" applyProtection="0"/>
    <xf numFmtId="0" fontId="41" fillId="18" borderId="0" applyNumberFormat="0" applyFont="0" applyFill="0" applyProtection="0"/>
    <xf numFmtId="0" fontId="14" fillId="18" borderId="0" applyNumberFormat="0" applyBorder="0" applyAlignment="0" applyProtection="0"/>
    <xf numFmtId="0" fontId="41" fillId="18" borderId="0" applyNumberFormat="0" applyFont="0" applyFill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41" fillId="23" borderId="0" applyNumberFormat="0" applyFont="0" applyFill="0" applyProtection="0"/>
    <xf numFmtId="0" fontId="41" fillId="23" borderId="0" applyNumberFormat="0" applyFont="0" applyFill="0" applyProtection="0"/>
    <xf numFmtId="0" fontId="14" fillId="23" borderId="0" applyNumberFormat="0" applyBorder="0" applyAlignment="0" applyProtection="0"/>
    <xf numFmtId="0" fontId="41" fillId="23" borderId="0" applyNumberFormat="0" applyFont="0" applyFill="0" applyProtection="0"/>
    <xf numFmtId="0" fontId="14" fillId="20" borderId="0" applyNumberFormat="0" applyBorder="0" applyAlignment="0" applyProtection="0"/>
    <xf numFmtId="0" fontId="41" fillId="23" borderId="0" applyNumberFormat="0" applyFont="0" applyFill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46" fillId="3" borderId="1" applyNumberFormat="0" applyFont="0" applyProtection="0"/>
    <xf numFmtId="0" fontId="19" fillId="7" borderId="1" applyNumberFormat="0" applyAlignment="0" applyProtection="0"/>
    <xf numFmtId="0" fontId="19" fillId="13" borderId="1" applyNumberFormat="0" applyAlignment="0" applyProtection="0"/>
    <xf numFmtId="0" fontId="46" fillId="3" borderId="1" applyNumberFormat="0" applyFont="0" applyProtection="0"/>
    <xf numFmtId="0" fontId="19" fillId="7" borderId="1" applyNumberFormat="0" applyAlignment="0" applyProtection="0"/>
    <xf numFmtId="0" fontId="46" fillId="3" borderId="1" applyNumberFormat="0" applyFont="0" applyProtection="0"/>
    <xf numFmtId="0" fontId="38" fillId="0" borderId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59" fillId="0" borderId="0"/>
    <xf numFmtId="0" fontId="58" fillId="0" borderId="0"/>
    <xf numFmtId="0" fontId="57" fillId="0" borderId="0"/>
    <xf numFmtId="173" fontId="57" fillId="0" borderId="0" applyBorder="0" applyProtection="0"/>
    <xf numFmtId="0" fontId="2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35" fillId="0" borderId="7" applyNumberFormat="0" applyFill="0" applyAlignment="0" applyProtection="0"/>
    <xf numFmtId="0" fontId="36" fillId="0" borderId="8" applyNumberFormat="0" applyFill="0" applyAlignment="0" applyProtection="0"/>
    <xf numFmtId="0" fontId="37" fillId="0" borderId="9" applyNumberFormat="0" applyFill="0" applyAlignment="0" applyProtection="0"/>
    <xf numFmtId="0" fontId="37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48" fillId="3" borderId="0" applyNumberFormat="0" applyFont="0" applyFill="0" applyProtection="0"/>
    <xf numFmtId="0" fontId="48" fillId="3" borderId="0" applyNumberFormat="0" applyFont="0" applyFill="0" applyProtection="0"/>
    <xf numFmtId="0" fontId="21" fillId="5" borderId="0" applyNumberFormat="0" applyBorder="0" applyAlignment="0" applyProtection="0"/>
    <xf numFmtId="0" fontId="48" fillId="3" borderId="0" applyNumberFormat="0" applyFont="0" applyFill="0" applyProtection="0"/>
    <xf numFmtId="0" fontId="21" fillId="3" borderId="0" applyNumberFormat="0" applyBorder="0" applyAlignment="0" applyProtection="0"/>
    <xf numFmtId="0" fontId="48" fillId="3" borderId="0" applyNumberFormat="0" applyFont="0" applyFill="0" applyProtection="0"/>
    <xf numFmtId="0" fontId="19" fillId="7" borderId="1" applyNumberFormat="0" applyAlignment="0" applyProtection="0"/>
    <xf numFmtId="0" fontId="31" fillId="0" borderId="5" applyNumberFormat="0" applyFill="0" applyAlignment="0" applyProtection="0"/>
    <xf numFmtId="4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5" fontId="1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49" fillId="10" borderId="0" applyNumberFormat="0" applyFont="0" applyFill="0" applyProtection="0"/>
    <xf numFmtId="0" fontId="49" fillId="10" borderId="0" applyNumberFormat="0" applyFont="0" applyFill="0" applyProtection="0"/>
    <xf numFmtId="0" fontId="22" fillId="13" borderId="0" applyNumberFormat="0" applyBorder="0" applyAlignment="0" applyProtection="0"/>
    <xf numFmtId="0" fontId="49" fillId="10" borderId="0" applyNumberFormat="0" applyFont="0" applyFill="0" applyProtection="0"/>
    <xf numFmtId="0" fontId="33" fillId="13" borderId="0" applyNumberFormat="0" applyBorder="0" applyAlignment="0" applyProtection="0"/>
    <xf numFmtId="0" fontId="49" fillId="10" borderId="0" applyNumberFormat="0" applyFont="0" applyFill="0" applyProtection="0"/>
    <xf numFmtId="0" fontId="33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0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50" fillId="0" borderId="0" applyNumberFormat="0" applyFill="0" applyBorder="0" applyProtection="0">
      <alignment vertical="top" wrapText="1"/>
    </xf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8" fillId="0" borderId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32" fillId="10" borderId="10" applyNumberFormat="0" applyFont="0" applyAlignment="0" applyProtection="0"/>
    <xf numFmtId="0" fontId="13" fillId="10" borderId="10" applyNumberFormat="0" applyFont="0" applyAlignment="0" applyProtection="0"/>
    <xf numFmtId="0" fontId="2" fillId="10" borderId="10" applyNumberFormat="0" applyFont="0" applyBorder="0" applyProtection="0"/>
    <xf numFmtId="0" fontId="32" fillId="10" borderId="10" applyNumberFormat="0" applyFont="0" applyAlignment="0" applyProtection="0"/>
    <xf numFmtId="0" fontId="32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2" fillId="10" borderId="10" applyNumberFormat="0" applyFont="0" applyBorder="0" applyProtection="0"/>
    <xf numFmtId="0" fontId="32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13" fillId="10" borderId="10" applyNumberFormat="0" applyFont="0" applyAlignment="0" applyProtection="0"/>
    <xf numFmtId="0" fontId="2" fillId="10" borderId="10" applyNumberFormat="0" applyFont="0" applyAlignment="0" applyProtection="0"/>
    <xf numFmtId="0" fontId="23" fillId="25" borderId="11" applyNumberFormat="0" applyAlignment="0" applyProtection="0"/>
    <xf numFmtId="0" fontId="39" fillId="0" borderId="12" applyNumberFormat="0" applyFont="0" applyBorder="0" applyAlignment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51" fillId="27" borderId="13" applyNumberFormat="0" applyFont="0" applyProtection="0"/>
    <xf numFmtId="0" fontId="23" fillId="25" borderId="11" applyNumberFormat="0" applyAlignment="0" applyProtection="0"/>
    <xf numFmtId="0" fontId="23" fillId="26" borderId="11" applyNumberFormat="0" applyAlignment="0" applyProtection="0"/>
    <xf numFmtId="0" fontId="51" fillId="27" borderId="13" applyNumberFormat="0" applyFont="0" applyProtection="0"/>
    <xf numFmtId="0" fontId="23" fillId="25" borderId="11" applyNumberFormat="0" applyAlignment="0" applyProtection="0"/>
    <xf numFmtId="0" fontId="51" fillId="27" borderId="13" applyNumberFormat="0" applyFo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2" fillId="0" borderId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ont="0" applyFill="0" applyAlignment="0" applyProtection="0"/>
    <xf numFmtId="0" fontId="40" fillId="0" borderId="0" applyNumberFormat="0" applyFont="0" applyFill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ont="0" applyFill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on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2" fillId="0" borderId="0" applyNumberFormat="0" applyFont="0" applyFill="0" applyAlignment="0" applyProtection="0"/>
    <xf numFmtId="0" fontId="52" fillId="0" borderId="0" applyNumberFormat="0" applyFont="0" applyFill="0" applyAlignment="0" applyProtection="0"/>
    <xf numFmtId="0" fontId="24" fillId="0" borderId="0" applyNumberFormat="0" applyFill="0" applyBorder="0" applyAlignment="0" applyProtection="0"/>
    <xf numFmtId="0" fontId="52" fillId="0" borderId="0" applyNumberFormat="0" applyFont="0" applyFill="0" applyAlignment="0" applyProtection="0"/>
    <xf numFmtId="0" fontId="24" fillId="0" borderId="0" applyNumberFormat="0" applyFill="0" applyBorder="0" applyAlignment="0" applyProtection="0"/>
    <xf numFmtId="0" fontId="52" fillId="0" borderId="0" applyNumberFormat="0" applyFont="0" applyFill="0" applyAlignment="0" applyProtection="0"/>
    <xf numFmtId="0" fontId="34" fillId="0" borderId="0" applyNumberFormat="0" applyFill="0" applyBorder="0" applyAlignment="0" applyProtection="0"/>
    <xf numFmtId="0" fontId="35" fillId="0" borderId="7" applyNumberFormat="0" applyFill="0" applyAlignment="0" applyProtection="0"/>
    <xf numFmtId="0" fontId="35" fillId="0" borderId="7" applyNumberFormat="0" applyFill="0" applyAlignment="0" applyProtection="0"/>
    <xf numFmtId="0" fontId="53" fillId="0" borderId="15" applyNumberFormat="0" applyFont="0" applyAlignment="0" applyProtection="0"/>
    <xf numFmtId="0" fontId="35" fillId="0" borderId="7" applyNumberFormat="0" applyFill="0" applyAlignment="0" applyProtection="0"/>
    <xf numFmtId="0" fontId="26" fillId="0" borderId="14" applyNumberFormat="0" applyFill="0" applyAlignment="0" applyProtection="0"/>
    <xf numFmtId="0" fontId="53" fillId="0" borderId="15" applyNumberFormat="0" applyFont="0" applyAlignment="0" applyProtection="0"/>
    <xf numFmtId="0" fontId="35" fillId="0" borderId="7" applyNumberFormat="0" applyFill="0" applyAlignment="0" applyProtection="0"/>
    <xf numFmtId="0" fontId="53" fillId="0" borderId="15" applyNumberFormat="0" applyFont="0" applyAlignment="0" applyProtection="0"/>
    <xf numFmtId="0" fontId="54" fillId="0" borderId="0" applyNumberFormat="0" applyFon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55" fillId="0" borderId="8" applyNumberFormat="0" applyFont="0" applyAlignment="0" applyProtection="0"/>
    <xf numFmtId="0" fontId="36" fillId="0" borderId="8" applyNumberFormat="0" applyFill="0" applyAlignment="0" applyProtection="0"/>
    <xf numFmtId="0" fontId="27" fillId="0" borderId="16" applyNumberFormat="0" applyFill="0" applyAlignment="0" applyProtection="0"/>
    <xf numFmtId="0" fontId="55" fillId="0" borderId="8" applyNumberFormat="0" applyFont="0" applyAlignment="0" applyProtection="0"/>
    <xf numFmtId="0" fontId="36" fillId="0" borderId="8" applyNumberFormat="0" applyFill="0" applyAlignment="0" applyProtection="0"/>
    <xf numFmtId="0" fontId="55" fillId="0" borderId="8" applyNumberFormat="0" applyFont="0" applyAlignment="0" applyProtection="0"/>
    <xf numFmtId="0" fontId="37" fillId="0" borderId="9" applyNumberFormat="0" applyFill="0" applyAlignment="0" applyProtection="0"/>
    <xf numFmtId="0" fontId="37" fillId="0" borderId="9" applyNumberFormat="0" applyFill="0" applyAlignment="0" applyProtection="0"/>
    <xf numFmtId="0" fontId="56" fillId="0" borderId="15" applyNumberFormat="0" applyFont="0" applyAlignment="0" applyProtection="0"/>
    <xf numFmtId="0" fontId="37" fillId="0" borderId="9" applyNumberFormat="0" applyFill="0" applyAlignment="0" applyProtection="0"/>
    <xf numFmtId="0" fontId="28" fillId="0" borderId="17" applyNumberFormat="0" applyFill="0" applyAlignment="0" applyProtection="0"/>
    <xf numFmtId="0" fontId="56" fillId="0" borderId="15" applyNumberFormat="0" applyFont="0" applyAlignment="0" applyProtection="0"/>
    <xf numFmtId="0" fontId="37" fillId="0" borderId="9" applyNumberFormat="0" applyFill="0" applyAlignment="0" applyProtection="0"/>
    <xf numFmtId="0" fontId="56" fillId="0" borderId="15" applyNumberFormat="0" applyFont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56" fillId="0" borderId="0" applyNumberFormat="0" applyFont="0" applyFill="0" applyAlignment="0" applyProtection="0"/>
    <xf numFmtId="0" fontId="56" fillId="0" borderId="0" applyNumberFormat="0" applyFont="0" applyFill="0" applyAlignment="0" applyProtection="0"/>
    <xf numFmtId="0" fontId="28" fillId="0" borderId="0" applyNumberFormat="0" applyFill="0" applyBorder="0" applyAlignment="0" applyProtection="0"/>
    <xf numFmtId="0" fontId="56" fillId="0" borderId="0" applyNumberFormat="0" applyFont="0" applyFill="0" applyAlignment="0" applyProtection="0"/>
    <xf numFmtId="0" fontId="37" fillId="0" borderId="0" applyNumberFormat="0" applyFill="0" applyBorder="0" applyAlignment="0" applyProtection="0"/>
    <xf numFmtId="0" fontId="56" fillId="0" borderId="0" applyNumberFormat="0" applyFon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4" fillId="0" borderId="0" applyNumberFormat="0" applyFont="0" applyFill="0" applyAlignment="0" applyProtection="0"/>
    <xf numFmtId="0" fontId="54" fillId="0" borderId="0" applyNumberFormat="0" applyFont="0" applyFill="0" applyAlignment="0" applyProtection="0"/>
    <xf numFmtId="0" fontId="25" fillId="0" borderId="0" applyNumberFormat="0" applyFill="0" applyBorder="0" applyAlignment="0" applyProtection="0"/>
    <xf numFmtId="0" fontId="54" fillId="0" borderId="0" applyNumberFormat="0" applyFont="0" applyFill="0" applyAlignment="0" applyProtection="0"/>
    <xf numFmtId="0" fontId="34" fillId="0" borderId="0" applyNumberFormat="0" applyFill="0" applyBorder="0" applyAlignment="0" applyProtection="0"/>
    <xf numFmtId="0" fontId="54" fillId="0" borderId="0" applyNumberFormat="0" applyFont="0" applyFill="0" applyAlignment="0" applyProtection="0"/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0" fontId="7" fillId="0" borderId="20" applyNumberFormat="0" applyFont="0" applyAlignment="0" applyProtection="0"/>
    <xf numFmtId="0" fontId="29" fillId="0" borderId="19" applyNumberFormat="0" applyFill="0" applyAlignment="0" applyProtection="0"/>
    <xf numFmtId="0" fontId="29" fillId="0" borderId="18" applyNumberFormat="0" applyFill="0" applyAlignment="0" applyProtection="0"/>
    <xf numFmtId="0" fontId="7" fillId="0" borderId="20" applyNumberFormat="0" applyFont="0" applyAlignment="0" applyProtection="0"/>
    <xf numFmtId="0" fontId="29" fillId="0" borderId="19" applyNumberFormat="0" applyFill="0" applyAlignment="0" applyProtection="0"/>
    <xf numFmtId="0" fontId="7" fillId="0" borderId="20" applyNumberFormat="0" applyFont="0" applyAlignment="0" applyProtection="0"/>
    <xf numFmtId="0" fontId="29" fillId="0" borderId="19" applyNumberFormat="0" applyFill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164" fontId="92" fillId="0" borderId="0" applyFont="0" applyFill="0" applyBorder="0" applyAlignment="0" applyProtection="0"/>
    <xf numFmtId="0" fontId="1" fillId="0" borderId="0"/>
  </cellStyleXfs>
  <cellXfs count="629">
    <xf numFmtId="0" fontId="0" fillId="0" borderId="0" xfId="0"/>
    <xf numFmtId="0" fontId="3" fillId="0" borderId="21" xfId="0" applyFont="1" applyBorder="1" applyAlignment="1">
      <alignment horizontal="center"/>
    </xf>
    <xf numFmtId="0" fontId="2" fillId="0" borderId="0" xfId="0" applyFont="1"/>
    <xf numFmtId="4" fontId="0" fillId="0" borderId="0" xfId="0" applyNumberFormat="1"/>
    <xf numFmtId="0" fontId="3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2" fillId="0" borderId="70" xfId="0" applyFont="1" applyBorder="1" applyAlignment="1">
      <alignment horizontal="center"/>
    </xf>
    <xf numFmtId="4" fontId="72" fillId="0" borderId="71" xfId="0" applyNumberFormat="1" applyFont="1" applyBorder="1" applyAlignment="1">
      <alignment horizontal="center"/>
    </xf>
    <xf numFmtId="4" fontId="73" fillId="0" borderId="71" xfId="0" applyNumberFormat="1" applyFont="1" applyBorder="1" applyAlignment="1">
      <alignment horizontal="center"/>
    </xf>
    <xf numFmtId="0" fontId="73" fillId="0" borderId="71" xfId="0" applyFont="1" applyBorder="1" applyAlignment="1">
      <alignment horizontal="center"/>
    </xf>
    <xf numFmtId="0" fontId="74" fillId="0" borderId="72" xfId="0" applyFont="1" applyBorder="1" applyAlignment="1">
      <alignment horizontal="center"/>
    </xf>
    <xf numFmtId="0" fontId="73" fillId="0" borderId="70" xfId="0" applyFont="1" applyBorder="1" applyAlignment="1">
      <alignment horizontal="center"/>
    </xf>
    <xf numFmtId="0" fontId="73" fillId="36" borderId="70" xfId="0" applyFont="1" applyFill="1" applyBorder="1" applyAlignment="1">
      <alignment horizontal="center"/>
    </xf>
    <xf numFmtId="4" fontId="73" fillId="36" borderId="71" xfId="0" applyNumberFormat="1" applyFont="1" applyFill="1" applyBorder="1" applyAlignment="1">
      <alignment horizontal="center"/>
    </xf>
    <xf numFmtId="4" fontId="72" fillId="36" borderId="71" xfId="0" applyNumberFormat="1" applyFont="1" applyFill="1" applyBorder="1" applyAlignment="1">
      <alignment horizontal="center"/>
    </xf>
    <xf numFmtId="0" fontId="73" fillId="36" borderId="71" xfId="0" applyFont="1" applyFill="1" applyBorder="1" applyAlignment="1">
      <alignment horizontal="center"/>
    </xf>
    <xf numFmtId="0" fontId="74" fillId="36" borderId="72" xfId="0" applyFont="1" applyFill="1" applyBorder="1" applyAlignment="1">
      <alignment horizontal="center"/>
    </xf>
    <xf numFmtId="0" fontId="75" fillId="36" borderId="70" xfId="0" applyFont="1" applyFill="1" applyBorder="1" applyAlignment="1">
      <alignment horizontal="center"/>
    </xf>
    <xf numFmtId="4" fontId="75" fillId="36" borderId="71" xfId="0" applyNumberFormat="1" applyFont="1" applyFill="1" applyBorder="1" applyAlignment="1">
      <alignment horizontal="center"/>
    </xf>
    <xf numFmtId="4" fontId="76" fillId="36" borderId="71" xfId="0" applyNumberFormat="1" applyFont="1" applyFill="1" applyBorder="1" applyAlignment="1">
      <alignment horizontal="center"/>
    </xf>
    <xf numFmtId="0" fontId="75" fillId="36" borderId="71" xfId="0" applyFont="1" applyFill="1" applyBorder="1" applyAlignment="1">
      <alignment horizontal="center"/>
    </xf>
    <xf numFmtId="0" fontId="71" fillId="36" borderId="72" xfId="0" applyFont="1" applyFill="1" applyBorder="1" applyAlignment="1">
      <alignment horizontal="center"/>
    </xf>
    <xf numFmtId="166" fontId="73" fillId="0" borderId="71" xfId="0" applyNumberFormat="1" applyFont="1" applyBorder="1" applyAlignment="1">
      <alignment horizontal="center"/>
    </xf>
    <xf numFmtId="4" fontId="73" fillId="0" borderId="71" xfId="0" applyNumberFormat="1" applyFont="1" applyBorder="1" applyAlignment="1">
      <alignment horizontal="right"/>
    </xf>
    <xf numFmtId="4" fontId="73" fillId="0" borderId="71" xfId="0" applyNumberFormat="1" applyFont="1" applyBorder="1"/>
    <xf numFmtId="0" fontId="73" fillId="0" borderId="71" xfId="0" applyFont="1" applyBorder="1"/>
    <xf numFmtId="0" fontId="73" fillId="0" borderId="72" xfId="0" applyFont="1" applyBorder="1"/>
    <xf numFmtId="0" fontId="73" fillId="37" borderId="0" xfId="0" applyFont="1" applyFill="1"/>
    <xf numFmtId="0" fontId="72" fillId="0" borderId="73" xfId="0" applyFont="1" applyBorder="1" applyAlignment="1">
      <alignment horizontal="center"/>
    </xf>
    <xf numFmtId="4" fontId="72" fillId="0" borderId="74" xfId="0" applyNumberFormat="1" applyFont="1" applyBorder="1" applyAlignment="1">
      <alignment horizontal="center"/>
    </xf>
    <xf numFmtId="4" fontId="73" fillId="0" borderId="74" xfId="0" applyNumberFormat="1" applyFont="1" applyBorder="1" applyAlignment="1">
      <alignment horizontal="center"/>
    </xf>
    <xf numFmtId="0" fontId="73" fillId="0" borderId="74" xfId="0" applyFont="1" applyBorder="1" applyAlignment="1">
      <alignment horizontal="center"/>
    </xf>
    <xf numFmtId="0" fontId="74" fillId="0" borderId="75" xfId="0" applyFont="1" applyBorder="1" applyAlignment="1">
      <alignment horizontal="center"/>
    </xf>
    <xf numFmtId="0" fontId="77" fillId="0" borderId="76" xfId="0" applyFont="1" applyBorder="1" applyAlignment="1">
      <alignment horizontal="center"/>
    </xf>
    <xf numFmtId="0" fontId="77" fillId="0" borderId="77" xfId="0" applyFont="1" applyBorder="1"/>
    <xf numFmtId="0" fontId="77" fillId="0" borderId="78" xfId="0" applyFont="1" applyBorder="1" applyAlignment="1">
      <alignment horizontal="center"/>
    </xf>
    <xf numFmtId="0" fontId="77" fillId="0" borderId="79" xfId="0" applyFont="1" applyBorder="1" applyAlignment="1">
      <alignment horizontal="center"/>
    </xf>
    <xf numFmtId="0" fontId="0" fillId="37" borderId="23" xfId="0" applyFill="1" applyBorder="1"/>
    <xf numFmtId="0" fontId="0" fillId="37" borderId="24" xfId="0" applyFill="1" applyBorder="1"/>
    <xf numFmtId="4" fontId="73" fillId="38" borderId="71" xfId="0" applyNumberFormat="1" applyFont="1" applyFill="1" applyBorder="1" applyAlignment="1">
      <alignment horizontal="center"/>
    </xf>
    <xf numFmtId="0" fontId="3" fillId="33" borderId="21" xfId="0" applyFont="1" applyFill="1" applyBorder="1" applyAlignment="1">
      <alignment horizontal="center"/>
    </xf>
    <xf numFmtId="1" fontId="3" fillId="33" borderId="21" xfId="0" applyNumberFormat="1" applyFont="1" applyFill="1" applyBorder="1" applyAlignment="1">
      <alignment horizontal="center"/>
    </xf>
    <xf numFmtId="2" fontId="3" fillId="33" borderId="21" xfId="0" applyNumberFormat="1" applyFont="1" applyFill="1" applyBorder="1" applyAlignment="1">
      <alignment horizontal="center"/>
    </xf>
    <xf numFmtId="166" fontId="3" fillId="33" borderId="21" xfId="779" applyFont="1" applyFill="1" applyBorder="1" applyAlignment="1">
      <alignment horizontal="center"/>
    </xf>
    <xf numFmtId="40" fontId="3" fillId="33" borderId="21" xfId="0" applyNumberFormat="1" applyFont="1" applyFill="1" applyBorder="1" applyAlignment="1">
      <alignment horizontal="center"/>
    </xf>
    <xf numFmtId="40" fontId="3" fillId="33" borderId="21" xfId="0" applyNumberFormat="1" applyFont="1" applyFill="1" applyBorder="1" applyAlignment="1">
      <alignment horizontal="center" vertical="center" wrapText="1"/>
    </xf>
    <xf numFmtId="40" fontId="3" fillId="33" borderId="21" xfId="0" applyNumberFormat="1" applyFont="1" applyFill="1" applyBorder="1" applyAlignment="1">
      <alignment horizontal="right"/>
    </xf>
    <xf numFmtId="166" fontId="3" fillId="33" borderId="21" xfId="779" applyFont="1" applyFill="1" applyBorder="1" applyAlignment="1">
      <alignment horizontal="right"/>
    </xf>
    <xf numFmtId="43" fontId="0" fillId="0" borderId="0" xfId="0" applyNumberFormat="1"/>
    <xf numFmtId="0" fontId="7" fillId="0" borderId="21" xfId="0" applyFont="1" applyBorder="1" applyAlignment="1">
      <alignment horizontal="center" vertical="center"/>
    </xf>
    <xf numFmtId="0" fontId="8" fillId="34" borderId="22" xfId="0" applyFont="1" applyFill="1" applyBorder="1" applyAlignment="1">
      <alignment horizontal="center" vertical="center"/>
    </xf>
    <xf numFmtId="0" fontId="8" fillId="34" borderId="26" xfId="0" applyFont="1" applyFill="1" applyBorder="1" applyAlignment="1">
      <alignment horizontal="center" vertical="center"/>
    </xf>
    <xf numFmtId="0" fontId="8" fillId="34" borderId="27" xfId="0" applyFont="1" applyFill="1" applyBorder="1" applyAlignment="1">
      <alignment horizontal="center" vertical="center"/>
    </xf>
    <xf numFmtId="166" fontId="8" fillId="0" borderId="21" xfId="0" applyNumberFormat="1" applyFont="1" applyBorder="1" applyAlignment="1">
      <alignment horizontal="center" vertical="center"/>
    </xf>
    <xf numFmtId="39" fontId="8" fillId="35" borderId="21" xfId="0" applyNumberFormat="1" applyFont="1" applyFill="1" applyBorder="1" applyAlignment="1">
      <alignment horizontal="center" vertical="center"/>
    </xf>
    <xf numFmtId="1" fontId="73" fillId="0" borderId="80" xfId="0" applyNumberFormat="1" applyFont="1" applyBorder="1" applyAlignment="1">
      <alignment horizontal="left"/>
    </xf>
    <xf numFmtId="0" fontId="73" fillId="0" borderId="81" xfId="0" applyFont="1" applyBorder="1"/>
    <xf numFmtId="0" fontId="73" fillId="0" borderId="82" xfId="0" applyFont="1" applyBorder="1"/>
    <xf numFmtId="0" fontId="0" fillId="37" borderId="0" xfId="0" applyFill="1"/>
    <xf numFmtId="0" fontId="78" fillId="37" borderId="0" xfId="0" applyFont="1" applyFill="1"/>
    <xf numFmtId="0" fontId="79" fillId="37" borderId="0" xfId="0" applyFont="1" applyFill="1"/>
    <xf numFmtId="0" fontId="79" fillId="37" borderId="28" xfId="0" applyFont="1" applyFill="1" applyBorder="1"/>
    <xf numFmtId="4" fontId="79" fillId="37" borderId="0" xfId="0" applyNumberFormat="1" applyFont="1" applyFill="1"/>
    <xf numFmtId="0" fontId="80" fillId="37" borderId="28" xfId="0" applyFont="1" applyFill="1" applyBorder="1"/>
    <xf numFmtId="40" fontId="79" fillId="37" borderId="0" xfId="0" applyNumberFormat="1" applyFont="1" applyFill="1"/>
    <xf numFmtId="0" fontId="78" fillId="37" borderId="29" xfId="0" applyFont="1" applyFill="1" applyBorder="1"/>
    <xf numFmtId="40" fontId="79" fillId="37" borderId="29" xfId="0" applyNumberFormat="1" applyFont="1" applyFill="1" applyBorder="1"/>
    <xf numFmtId="0" fontId="79" fillId="37" borderId="29" xfId="0" applyFont="1" applyFill="1" applyBorder="1"/>
    <xf numFmtId="0" fontId="79" fillId="37" borderId="30" xfId="0" applyFont="1" applyFill="1" applyBorder="1"/>
    <xf numFmtId="0" fontId="0" fillId="37" borderId="31" xfId="0" applyFill="1" applyBorder="1"/>
    <xf numFmtId="0" fontId="73" fillId="37" borderId="32" xfId="0" applyFont="1" applyFill="1" applyBorder="1"/>
    <xf numFmtId="0" fontId="0" fillId="37" borderId="32" xfId="0" applyFill="1" applyBorder="1"/>
    <xf numFmtId="0" fontId="78" fillId="37" borderId="32" xfId="0" applyFont="1" applyFill="1" applyBorder="1"/>
    <xf numFmtId="0" fontId="79" fillId="37" borderId="32" xfId="0" applyFont="1" applyFill="1" applyBorder="1"/>
    <xf numFmtId="0" fontId="79" fillId="37" borderId="33" xfId="0" applyFont="1" applyFill="1" applyBorder="1"/>
    <xf numFmtId="0" fontId="81" fillId="37" borderId="0" xfId="0" applyFont="1" applyFill="1" applyAlignment="1">
      <alignment vertical="center" wrapText="1"/>
    </xf>
    <xf numFmtId="0" fontId="3" fillId="0" borderId="21" xfId="41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7" fillId="0" borderId="0" xfId="0" applyFont="1"/>
    <xf numFmtId="0" fontId="4" fillId="0" borderId="21" xfId="0" applyFont="1" applyBorder="1" applyAlignment="1">
      <alignment horizontal="center" vertical="center" wrapText="1"/>
    </xf>
    <xf numFmtId="0" fontId="3" fillId="0" borderId="21" xfId="411" applyFont="1" applyBorder="1" applyAlignment="1">
      <alignment horizontal="left" vertical="center" wrapText="1"/>
    </xf>
    <xf numFmtId="175" fontId="0" fillId="0" borderId="0" xfId="0" applyNumberFormat="1"/>
    <xf numFmtId="39" fontId="0" fillId="0" borderId="0" xfId="0" applyNumberFormat="1"/>
    <xf numFmtId="166" fontId="2" fillId="37" borderId="21" xfId="779" applyFont="1" applyFill="1" applyBorder="1" applyAlignment="1">
      <alignment horizontal="center" vertical="center"/>
    </xf>
    <xf numFmtId="169" fontId="0" fillId="0" borderId="0" xfId="0" applyNumberFormat="1"/>
    <xf numFmtId="0" fontId="8" fillId="37" borderId="22" xfId="0" applyFont="1" applyFill="1" applyBorder="1" applyAlignment="1">
      <alignment horizontal="center" vertical="center"/>
    </xf>
    <xf numFmtId="0" fontId="8" fillId="37" borderId="26" xfId="0" applyFont="1" applyFill="1" applyBorder="1" applyAlignment="1">
      <alignment horizontal="center" vertical="center"/>
    </xf>
    <xf numFmtId="0" fontId="8" fillId="37" borderId="27" xfId="0" applyFont="1" applyFill="1" applyBorder="1" applyAlignment="1">
      <alignment horizontal="center" vertical="center"/>
    </xf>
    <xf numFmtId="3" fontId="10" fillId="0" borderId="39" xfId="0" applyNumberFormat="1" applyFont="1" applyBorder="1" applyAlignment="1">
      <alignment horizontal="left" vertical="center" wrapText="1"/>
    </xf>
    <xf numFmtId="3" fontId="10" fillId="0" borderId="21" xfId="0" applyNumberFormat="1" applyFont="1" applyBorder="1" applyAlignment="1">
      <alignment horizontal="right" vertical="center"/>
    </xf>
    <xf numFmtId="3" fontId="10" fillId="0" borderId="21" xfId="0" quotePrefix="1" applyNumberFormat="1" applyFont="1" applyBorder="1" applyAlignment="1">
      <alignment horizontal="right" vertical="center"/>
    </xf>
    <xf numFmtId="4" fontId="10" fillId="0" borderId="21" xfId="0" applyNumberFormat="1" applyFont="1" applyBorder="1" applyAlignment="1">
      <alignment horizontal="right" vertical="center"/>
    </xf>
    <xf numFmtId="176" fontId="10" fillId="0" borderId="21" xfId="779" applyNumberFormat="1" applyFont="1" applyBorder="1" applyAlignment="1">
      <alignment horizontal="right" vertical="center"/>
    </xf>
    <xf numFmtId="166" fontId="10" fillId="0" borderId="21" xfId="779" applyFont="1" applyBorder="1" applyAlignment="1">
      <alignment horizontal="right" vertical="center"/>
    </xf>
    <xf numFmtId="169" fontId="10" fillId="0" borderId="21" xfId="0" applyNumberFormat="1" applyFont="1" applyBorder="1" applyAlignment="1">
      <alignment horizontal="right" vertical="center"/>
    </xf>
    <xf numFmtId="169" fontId="63" fillId="0" borderId="21" xfId="358" applyNumberFormat="1" applyFont="1" applyBorder="1" applyAlignment="1">
      <alignment horizontal="right" vertical="center"/>
    </xf>
    <xf numFmtId="3" fontId="10" fillId="0" borderId="21" xfId="0" applyNumberFormat="1" applyFont="1" applyBorder="1" applyAlignment="1">
      <alignment horizontal="right"/>
    </xf>
    <xf numFmtId="3" fontId="10" fillId="0" borderId="21" xfId="0" quotePrefix="1" applyNumberFormat="1" applyFont="1" applyBorder="1" applyAlignment="1">
      <alignment horizontal="right"/>
    </xf>
    <xf numFmtId="4" fontId="10" fillId="0" borderId="21" xfId="0" applyNumberFormat="1" applyFont="1" applyBorder="1" applyAlignment="1">
      <alignment horizontal="right"/>
    </xf>
    <xf numFmtId="176" fontId="10" fillId="0" borderId="21" xfId="779" applyNumberFormat="1" applyFont="1" applyBorder="1" applyAlignment="1">
      <alignment horizontal="right"/>
    </xf>
    <xf numFmtId="166" fontId="10" fillId="0" borderId="21" xfId="779" applyFont="1" applyBorder="1" applyAlignment="1">
      <alignment horizontal="right"/>
    </xf>
    <xf numFmtId="169" fontId="10" fillId="0" borderId="21" xfId="0" applyNumberFormat="1" applyFont="1" applyBorder="1" applyAlignment="1">
      <alignment horizontal="right"/>
    </xf>
    <xf numFmtId="3" fontId="10" fillId="0" borderId="47" xfId="0" applyNumberFormat="1" applyFont="1" applyBorder="1" applyAlignment="1">
      <alignment horizontal="center"/>
    </xf>
    <xf numFmtId="3" fontId="10" fillId="0" borderId="47" xfId="0" quotePrefix="1" applyNumberFormat="1" applyFont="1" applyBorder="1" applyAlignment="1">
      <alignment horizontal="center"/>
    </xf>
    <xf numFmtId="4" fontId="10" fillId="0" borderId="47" xfId="0" applyNumberFormat="1" applyFont="1" applyBorder="1" applyAlignment="1">
      <alignment horizontal="center"/>
    </xf>
    <xf numFmtId="169" fontId="9" fillId="0" borderId="47" xfId="779" applyNumberFormat="1" applyFont="1" applyBorder="1" applyAlignment="1">
      <alignment horizontal="center" vertical="center"/>
    </xf>
    <xf numFmtId="166" fontId="9" fillId="0" borderId="47" xfId="779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5" fillId="39" borderId="39" xfId="0" applyFont="1" applyFill="1" applyBorder="1" applyAlignment="1">
      <alignment horizontal="center" vertical="center" wrapText="1"/>
    </xf>
    <xf numFmtId="0" fontId="65" fillId="39" borderId="21" xfId="0" applyFont="1" applyFill="1" applyBorder="1" applyAlignment="1">
      <alignment horizontal="center" vertical="center" wrapText="1"/>
    </xf>
    <xf numFmtId="0" fontId="65" fillId="39" borderId="40" xfId="0" applyFont="1" applyFill="1" applyBorder="1" applyAlignment="1">
      <alignment horizontal="center" vertical="center" wrapText="1"/>
    </xf>
    <xf numFmtId="0" fontId="83" fillId="37" borderId="45" xfId="0" applyFont="1" applyFill="1" applyBorder="1" applyAlignment="1">
      <alignment horizontal="center" vertical="center" wrapText="1"/>
    </xf>
    <xf numFmtId="0" fontId="83" fillId="37" borderId="47" xfId="0" applyFont="1" applyFill="1" applyBorder="1" applyAlignment="1">
      <alignment horizontal="center" vertical="center" wrapText="1"/>
    </xf>
    <xf numFmtId="0" fontId="83" fillId="37" borderId="47" xfId="0" applyFont="1" applyFill="1" applyBorder="1" applyAlignment="1">
      <alignment horizontal="left" vertical="center" wrapText="1"/>
    </xf>
    <xf numFmtId="0" fontId="84" fillId="37" borderId="47" xfId="0" applyFont="1" applyFill="1" applyBorder="1" applyAlignment="1">
      <alignment horizontal="center" vertical="center" wrapText="1"/>
    </xf>
    <xf numFmtId="0" fontId="84" fillId="37" borderId="49" xfId="0" applyFont="1" applyFill="1" applyBorder="1" applyAlignment="1">
      <alignment horizontal="center" vertical="center" wrapText="1"/>
    </xf>
    <xf numFmtId="0" fontId="5" fillId="33" borderId="39" xfId="0" applyFont="1" applyFill="1" applyBorder="1" applyAlignment="1">
      <alignment horizontal="center" vertical="center" wrapText="1"/>
    </xf>
    <xf numFmtId="0" fontId="5" fillId="33" borderId="21" xfId="0" applyFont="1" applyFill="1" applyBorder="1" applyAlignment="1">
      <alignment horizontal="center"/>
    </xf>
    <xf numFmtId="2" fontId="5" fillId="33" borderId="21" xfId="0" applyNumberFormat="1" applyFont="1" applyFill="1" applyBorder="1" applyAlignment="1">
      <alignment horizontal="center" vertical="center"/>
    </xf>
    <xf numFmtId="170" fontId="5" fillId="33" borderId="21" xfId="0" applyNumberFormat="1" applyFont="1" applyFill="1" applyBorder="1" applyAlignment="1">
      <alignment horizontal="center" vertical="center"/>
    </xf>
    <xf numFmtId="0" fontId="5" fillId="33" borderId="40" xfId="0" applyFont="1" applyFill="1" applyBorder="1" applyAlignment="1">
      <alignment horizontal="center" vertical="center"/>
    </xf>
    <xf numFmtId="0" fontId="5" fillId="33" borderId="39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70" fontId="5" fillId="0" borderId="21" xfId="0" applyNumberFormat="1" applyFont="1" applyBorder="1" applyAlignment="1">
      <alignment horizontal="center" vertical="center"/>
    </xf>
    <xf numFmtId="0" fontId="62" fillId="0" borderId="40" xfId="0" applyFont="1" applyBorder="1" applyAlignment="1">
      <alignment horizontal="center" vertical="center"/>
    </xf>
    <xf numFmtId="0" fontId="5" fillId="33" borderId="45" xfId="0" applyFont="1" applyFill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170" fontId="5" fillId="0" borderId="47" xfId="0" applyNumberFormat="1" applyFont="1" applyBorder="1" applyAlignment="1">
      <alignment horizontal="center" vertical="center"/>
    </xf>
    <xf numFmtId="0" fontId="62" fillId="0" borderId="49" xfId="0" applyFont="1" applyBorder="1" applyAlignment="1">
      <alignment horizontal="center" vertical="center"/>
    </xf>
    <xf numFmtId="0" fontId="3" fillId="33" borderId="39" xfId="0" applyFont="1" applyFill="1" applyBorder="1" applyAlignment="1">
      <alignment vertical="center"/>
    </xf>
    <xf numFmtId="0" fontId="3" fillId="33" borderId="39" xfId="0" applyFont="1" applyFill="1" applyBorder="1" applyAlignment="1">
      <alignment horizontal="center"/>
    </xf>
    <xf numFmtId="0" fontId="3" fillId="33" borderId="40" xfId="0" applyFont="1" applyFill="1" applyBorder="1" applyAlignment="1">
      <alignment horizontal="left"/>
    </xf>
    <xf numFmtId="0" fontId="3" fillId="33" borderId="40" xfId="0" applyFont="1" applyFill="1" applyBorder="1" applyAlignment="1">
      <alignment horizontal="center" vertical="center" wrapText="1"/>
    </xf>
    <xf numFmtId="0" fontId="3" fillId="33" borderId="40" xfId="0" applyFont="1" applyFill="1" applyBorder="1" applyAlignment="1">
      <alignment horizontal="center"/>
    </xf>
    <xf numFmtId="2" fontId="3" fillId="33" borderId="40" xfId="0" applyNumberFormat="1" applyFont="1" applyFill="1" applyBorder="1" applyAlignment="1">
      <alignment horizontal="center"/>
    </xf>
    <xf numFmtId="0" fontId="9" fillId="37" borderId="51" xfId="0" applyFont="1" applyFill="1" applyBorder="1" applyAlignment="1">
      <alignment horizontal="left" vertical="center"/>
    </xf>
    <xf numFmtId="0" fontId="2" fillId="37" borderId="21" xfId="0" applyFont="1" applyFill="1" applyBorder="1" applyAlignment="1">
      <alignment horizontal="center" vertical="center" wrapText="1"/>
    </xf>
    <xf numFmtId="0" fontId="8" fillId="37" borderId="21" xfId="0" applyFont="1" applyFill="1" applyBorder="1" applyAlignment="1">
      <alignment horizontal="center" vertical="center" wrapText="1"/>
    </xf>
    <xf numFmtId="0" fontId="2" fillId="37" borderId="21" xfId="0" applyFont="1" applyFill="1" applyBorder="1" applyAlignment="1">
      <alignment horizontal="center" vertical="center"/>
    </xf>
    <xf numFmtId="0" fontId="7" fillId="37" borderId="26" xfId="0" applyFont="1" applyFill="1" applyBorder="1" applyAlignment="1">
      <alignment vertical="center"/>
    </xf>
    <xf numFmtId="169" fontId="2" fillId="37" borderId="21" xfId="0" applyNumberFormat="1" applyFont="1" applyFill="1" applyBorder="1" applyAlignment="1">
      <alignment horizontal="center" vertical="center"/>
    </xf>
    <xf numFmtId="169" fontId="2" fillId="37" borderId="21" xfId="0" applyNumberFormat="1" applyFont="1" applyFill="1" applyBorder="1" applyAlignment="1">
      <alignment vertical="center"/>
    </xf>
    <xf numFmtId="166" fontId="2" fillId="37" borderId="21" xfId="779" applyFont="1" applyFill="1" applyBorder="1" applyAlignment="1">
      <alignment vertical="center"/>
    </xf>
    <xf numFmtId="172" fontId="2" fillId="37" borderId="21" xfId="779" applyNumberFormat="1" applyFont="1" applyFill="1" applyBorder="1" applyAlignment="1">
      <alignment vertical="center"/>
    </xf>
    <xf numFmtId="1" fontId="61" fillId="37" borderId="0" xfId="0" applyNumberFormat="1" applyFont="1" applyFill="1"/>
    <xf numFmtId="1" fontId="61" fillId="37" borderId="28" xfId="0" applyNumberFormat="1" applyFont="1" applyFill="1" applyBorder="1"/>
    <xf numFmtId="1" fontId="85" fillId="37" borderId="23" xfId="0" applyNumberFormat="1" applyFont="1" applyFill="1" applyBorder="1"/>
    <xf numFmtId="0" fontId="85" fillId="37" borderId="0" xfId="0" applyFont="1" applyFill="1"/>
    <xf numFmtId="40" fontId="3" fillId="0" borderId="21" xfId="0" applyNumberFormat="1" applyFont="1" applyBorder="1" applyAlignment="1">
      <alignment horizontal="right"/>
    </xf>
    <xf numFmtId="2" fontId="3" fillId="0" borderId="21" xfId="0" applyNumberFormat="1" applyFont="1" applyBorder="1" applyAlignment="1">
      <alignment horizontal="right"/>
    </xf>
    <xf numFmtId="0" fontId="3" fillId="33" borderId="45" xfId="0" applyFont="1" applyFill="1" applyBorder="1" applyAlignment="1">
      <alignment horizontal="left"/>
    </xf>
    <xf numFmtId="0" fontId="3" fillId="33" borderId="47" xfId="0" applyFont="1" applyFill="1" applyBorder="1" applyAlignment="1">
      <alignment horizontal="center"/>
    </xf>
    <xf numFmtId="40" fontId="3" fillId="0" borderId="47" xfId="0" applyNumberFormat="1" applyFont="1" applyBorder="1" applyAlignment="1">
      <alignment horizontal="right"/>
    </xf>
    <xf numFmtId="0" fontId="3" fillId="33" borderId="47" xfId="0" applyFont="1" applyFill="1" applyBorder="1" applyAlignment="1">
      <alignment horizontal="left"/>
    </xf>
    <xf numFmtId="0" fontId="3" fillId="33" borderId="49" xfId="0" applyFont="1" applyFill="1" applyBorder="1" applyAlignment="1">
      <alignment horizontal="center"/>
    </xf>
    <xf numFmtId="0" fontId="5" fillId="33" borderId="41" xfId="0" applyFont="1" applyFill="1" applyBorder="1" applyAlignment="1">
      <alignment horizontal="center" vertical="center" wrapText="1"/>
    </xf>
    <xf numFmtId="2" fontId="5" fillId="33" borderId="26" xfId="0" applyNumberFormat="1" applyFont="1" applyFill="1" applyBorder="1" applyAlignment="1">
      <alignment horizontal="center" vertical="center"/>
    </xf>
    <xf numFmtId="170" fontId="5" fillId="33" borderId="26" xfId="0" applyNumberFormat="1" applyFont="1" applyFill="1" applyBorder="1" applyAlignment="1">
      <alignment horizontal="center" vertical="center"/>
    </xf>
    <xf numFmtId="0" fontId="5" fillId="33" borderId="26" xfId="0" applyFont="1" applyFill="1" applyBorder="1" applyAlignment="1">
      <alignment horizontal="center" vertical="center" wrapText="1"/>
    </xf>
    <xf numFmtId="0" fontId="5" fillId="33" borderId="48" xfId="0" applyFont="1" applyFill="1" applyBorder="1" applyAlignment="1">
      <alignment horizontal="center" vertical="center" wrapText="1"/>
    </xf>
    <xf numFmtId="0" fontId="2" fillId="37" borderId="21" xfId="0" applyFont="1" applyFill="1" applyBorder="1" applyAlignment="1">
      <alignment vertical="center" wrapText="1"/>
    </xf>
    <xf numFmtId="0" fontId="2" fillId="37" borderId="21" xfId="0" applyFont="1" applyFill="1" applyBorder="1" applyAlignment="1">
      <alignment horizontal="left" vertical="center" wrapText="1"/>
    </xf>
    <xf numFmtId="0" fontId="9" fillId="37" borderId="52" xfId="0" applyFont="1" applyFill="1" applyBorder="1" applyAlignment="1">
      <alignment horizontal="left" vertical="center"/>
    </xf>
    <xf numFmtId="0" fontId="9" fillId="37" borderId="53" xfId="0" applyFont="1" applyFill="1" applyBorder="1" applyAlignment="1">
      <alignment horizontal="center" vertical="center"/>
    </xf>
    <xf numFmtId="0" fontId="9" fillId="37" borderId="54" xfId="0" applyFont="1" applyFill="1" applyBorder="1" applyAlignment="1">
      <alignment horizontal="center" vertical="center"/>
    </xf>
    <xf numFmtId="0" fontId="10" fillId="37" borderId="23" xfId="0" applyFont="1" applyFill="1" applyBorder="1" applyAlignment="1">
      <alignment horizontal="center" vertical="center"/>
    </xf>
    <xf numFmtId="0" fontId="9" fillId="37" borderId="55" xfId="0" applyFont="1" applyFill="1" applyBorder="1" applyAlignment="1">
      <alignment horizontal="left" vertical="center"/>
    </xf>
    <xf numFmtId="0" fontId="2" fillId="37" borderId="39" xfId="0" applyFont="1" applyFill="1" applyBorder="1" applyAlignment="1">
      <alignment horizontal="center" vertical="center" wrapText="1"/>
    </xf>
    <xf numFmtId="0" fontId="2" fillId="37" borderId="40" xfId="0" applyFont="1" applyFill="1" applyBorder="1" applyAlignment="1">
      <alignment horizontal="center" vertical="center" wrapText="1"/>
    </xf>
    <xf numFmtId="0" fontId="2" fillId="37" borderId="39" xfId="0" applyFont="1" applyFill="1" applyBorder="1" applyAlignment="1">
      <alignment horizontal="center" vertical="center"/>
    </xf>
    <xf numFmtId="0" fontId="7" fillId="37" borderId="41" xfId="0" applyFont="1" applyFill="1" applyBorder="1" applyAlignment="1">
      <alignment vertical="center"/>
    </xf>
    <xf numFmtId="0" fontId="7" fillId="37" borderId="48" xfId="0" applyFont="1" applyFill="1" applyBorder="1" applyAlignment="1">
      <alignment vertical="center"/>
    </xf>
    <xf numFmtId="0" fontId="9" fillId="37" borderId="41" xfId="0" applyFont="1" applyFill="1" applyBorder="1" applyAlignment="1">
      <alignment horizontal="center" vertical="center"/>
    </xf>
    <xf numFmtId="166" fontId="2" fillId="37" borderId="40" xfId="0" applyNumberFormat="1" applyFont="1" applyFill="1" applyBorder="1" applyAlignment="1">
      <alignment horizontal="center" vertical="center"/>
    </xf>
    <xf numFmtId="166" fontId="2" fillId="37" borderId="40" xfId="0" applyNumberFormat="1" applyFont="1" applyFill="1" applyBorder="1" applyAlignment="1">
      <alignment vertical="center"/>
    </xf>
    <xf numFmtId="3" fontId="2" fillId="37" borderId="39" xfId="0" applyNumberFormat="1" applyFont="1" applyFill="1" applyBorder="1" applyAlignment="1">
      <alignment horizontal="center" vertical="center"/>
    </xf>
    <xf numFmtId="0" fontId="2" fillId="37" borderId="41" xfId="0" applyFont="1" applyFill="1" applyBorder="1" applyAlignment="1">
      <alignment vertical="center"/>
    </xf>
    <xf numFmtId="0" fontId="2" fillId="37" borderId="26" xfId="0" applyFont="1" applyFill="1" applyBorder="1" applyAlignment="1">
      <alignment vertical="center"/>
    </xf>
    <xf numFmtId="0" fontId="2" fillId="37" borderId="27" xfId="0" applyFont="1" applyFill="1" applyBorder="1" applyAlignment="1">
      <alignment vertical="center"/>
    </xf>
    <xf numFmtId="0" fontId="2" fillId="37" borderId="21" xfId="0" applyFont="1" applyFill="1" applyBorder="1" applyAlignment="1">
      <alignment vertical="center"/>
    </xf>
    <xf numFmtId="166" fontId="7" fillId="37" borderId="40" xfId="0" applyNumberFormat="1" applyFont="1" applyFill="1" applyBorder="1" applyAlignment="1">
      <alignment vertical="center"/>
    </xf>
    <xf numFmtId="0" fontId="2" fillId="37" borderId="41" xfId="0" applyFont="1" applyFill="1" applyBorder="1" applyAlignment="1">
      <alignment horizontal="center" vertical="center"/>
    </xf>
    <xf numFmtId="0" fontId="2" fillId="37" borderId="26" xfId="0" applyFont="1" applyFill="1" applyBorder="1" applyAlignment="1">
      <alignment horizontal="center" vertical="center"/>
    </xf>
    <xf numFmtId="0" fontId="2" fillId="37" borderId="48" xfId="0" applyFont="1" applyFill="1" applyBorder="1" applyAlignment="1">
      <alignment horizontal="center" vertical="center"/>
    </xf>
    <xf numFmtId="0" fontId="7" fillId="37" borderId="39" xfId="0" applyFont="1" applyFill="1" applyBorder="1" applyAlignment="1">
      <alignment horizontal="left" vertical="center"/>
    </xf>
    <xf numFmtId="0" fontId="7" fillId="37" borderId="21" xfId="0" applyFont="1" applyFill="1" applyBorder="1" applyAlignment="1">
      <alignment horizontal="left" vertical="center"/>
    </xf>
    <xf numFmtId="0" fontId="7" fillId="37" borderId="40" xfId="0" applyFont="1" applyFill="1" applyBorder="1" applyAlignment="1">
      <alignment horizontal="left" vertical="center"/>
    </xf>
    <xf numFmtId="0" fontId="7" fillId="37" borderId="56" xfId="0" applyFont="1" applyFill="1" applyBorder="1" applyAlignment="1">
      <alignment vertical="center"/>
    </xf>
    <xf numFmtId="0" fontId="7" fillId="37" borderId="57" xfId="0" applyFont="1" applyFill="1" applyBorder="1" applyAlignment="1">
      <alignment vertical="center"/>
    </xf>
    <xf numFmtId="169" fontId="9" fillId="0" borderId="49" xfId="779" applyNumberFormat="1" applyFont="1" applyBorder="1" applyAlignment="1">
      <alignment horizontal="center" vertical="center"/>
    </xf>
    <xf numFmtId="0" fontId="3" fillId="33" borderId="41" xfId="0" applyFont="1" applyFill="1" applyBorder="1" applyAlignment="1">
      <alignment vertical="center"/>
    </xf>
    <xf numFmtId="0" fontId="3" fillId="33" borderId="26" xfId="0" applyFont="1" applyFill="1" applyBorder="1" applyAlignment="1">
      <alignment horizontal="center"/>
    </xf>
    <xf numFmtId="1" fontId="3" fillId="33" borderId="26" xfId="0" applyNumberFormat="1" applyFont="1" applyFill="1" applyBorder="1" applyAlignment="1">
      <alignment horizontal="center"/>
    </xf>
    <xf numFmtId="2" fontId="3" fillId="33" borderId="26" xfId="0" applyNumberFormat="1" applyFont="1" applyFill="1" applyBorder="1" applyAlignment="1">
      <alignment horizontal="center"/>
    </xf>
    <xf numFmtId="0" fontId="3" fillId="0" borderId="26" xfId="0" applyFont="1" applyBorder="1" applyAlignment="1">
      <alignment horizontal="center" vertical="center"/>
    </xf>
    <xf numFmtId="0" fontId="11" fillId="33" borderId="39" xfId="0" applyFont="1" applyFill="1" applyBorder="1" applyAlignment="1">
      <alignment horizontal="center"/>
    </xf>
    <xf numFmtId="0" fontId="11" fillId="33" borderId="21" xfId="0" applyFont="1" applyFill="1" applyBorder="1" applyAlignment="1">
      <alignment horizontal="centerContinuous"/>
    </xf>
    <xf numFmtId="0" fontId="11" fillId="33" borderId="40" xfId="0" applyFont="1" applyFill="1" applyBorder="1" applyAlignment="1">
      <alignment horizontal="center"/>
    </xf>
    <xf numFmtId="0" fontId="11" fillId="33" borderId="21" xfId="0" applyFont="1" applyFill="1" applyBorder="1" applyAlignment="1">
      <alignment horizontal="center"/>
    </xf>
    <xf numFmtId="0" fontId="5" fillId="33" borderId="26" xfId="0" applyFont="1" applyFill="1" applyBorder="1" applyAlignment="1">
      <alignment horizontal="center"/>
    </xf>
    <xf numFmtId="0" fontId="5" fillId="0" borderId="26" xfId="0" applyFont="1" applyBorder="1" applyAlignment="1">
      <alignment horizontal="center" vertical="center"/>
    </xf>
    <xf numFmtId="0" fontId="3" fillId="37" borderId="48" xfId="0" applyFont="1" applyFill="1" applyBorder="1" applyAlignment="1">
      <alignment vertical="center"/>
    </xf>
    <xf numFmtId="166" fontId="3" fillId="33" borderId="21" xfId="779" applyFont="1" applyFill="1" applyBorder="1" applyAlignment="1">
      <alignment horizontal="left" vertical="center"/>
    </xf>
    <xf numFmtId="40" fontId="3" fillId="33" borderId="21" xfId="0" applyNumberFormat="1" applyFont="1" applyFill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3" fillId="33" borderId="39" xfId="0" applyFont="1" applyFill="1" applyBorder="1" applyAlignment="1">
      <alignment horizontal="left"/>
    </xf>
    <xf numFmtId="0" fontId="3" fillId="33" borderId="21" xfId="0" applyFont="1" applyFill="1" applyBorder="1" applyAlignment="1">
      <alignment horizontal="left"/>
    </xf>
    <xf numFmtId="0" fontId="3" fillId="37" borderId="48" xfId="0" applyFont="1" applyFill="1" applyBorder="1" applyAlignment="1">
      <alignment horizontal="center" vertical="center"/>
    </xf>
    <xf numFmtId="0" fontId="3" fillId="37" borderId="40" xfId="0" applyFont="1" applyFill="1" applyBorder="1" applyAlignment="1">
      <alignment horizontal="center" vertical="center"/>
    </xf>
    <xf numFmtId="0" fontId="5" fillId="33" borderId="48" xfId="0" applyFont="1" applyFill="1" applyBorder="1" applyAlignment="1">
      <alignment horizontal="center" vertical="center"/>
    </xf>
    <xf numFmtId="0" fontId="5" fillId="0" borderId="39" xfId="0" applyFont="1" applyBorder="1" applyAlignment="1">
      <alignment horizontal="center" vertical="center" wrapText="1"/>
    </xf>
    <xf numFmtId="4" fontId="9" fillId="0" borderId="47" xfId="779" applyNumberFormat="1" applyFont="1" applyBorder="1" applyAlignment="1">
      <alignment horizontal="center" vertical="center"/>
    </xf>
    <xf numFmtId="2" fontId="85" fillId="0" borderId="34" xfId="0" applyNumberFormat="1" applyFont="1" applyBorder="1" applyAlignment="1">
      <alignment horizontal="center" vertical="justify" wrapText="1"/>
    </xf>
    <xf numFmtId="2" fontId="85" fillId="0" borderId="35" xfId="0" applyNumberFormat="1" applyFont="1" applyBorder="1" applyAlignment="1">
      <alignment horizontal="center" vertical="justify" wrapText="1"/>
    </xf>
    <xf numFmtId="2" fontId="85" fillId="0" borderId="36" xfId="0" applyNumberFormat="1" applyFont="1" applyBorder="1" applyAlignment="1">
      <alignment horizontal="center" vertical="justify" wrapText="1"/>
    </xf>
    <xf numFmtId="2" fontId="85" fillId="0" borderId="0" xfId="0" applyNumberFormat="1" applyFont="1" applyAlignment="1">
      <alignment horizontal="center" vertical="justify" wrapText="1"/>
    </xf>
    <xf numFmtId="0" fontId="88" fillId="0" borderId="0" xfId="0" applyFont="1"/>
    <xf numFmtId="10" fontId="85" fillId="37" borderId="27" xfId="0" applyNumberFormat="1" applyFont="1" applyFill="1" applyBorder="1" applyAlignment="1">
      <alignment horizontal="center" vertical="center" wrapText="1"/>
    </xf>
    <xf numFmtId="4" fontId="88" fillId="37" borderId="40" xfId="0" applyNumberFormat="1" applyFont="1" applyFill="1" applyBorder="1" applyAlignment="1">
      <alignment horizontal="center" vertical="center"/>
    </xf>
    <xf numFmtId="10" fontId="85" fillId="37" borderId="21" xfId="0" applyNumberFormat="1" applyFont="1" applyFill="1" applyBorder="1" applyAlignment="1">
      <alignment horizontal="center" vertical="center" wrapText="1"/>
    </xf>
    <xf numFmtId="4" fontId="88" fillId="37" borderId="26" xfId="779" applyNumberFormat="1" applyFont="1" applyFill="1" applyBorder="1" applyAlignment="1">
      <alignment vertical="center" wrapText="1"/>
    </xf>
    <xf numFmtId="166" fontId="85" fillId="37" borderId="43" xfId="779" applyFont="1" applyFill="1" applyBorder="1" applyAlignment="1">
      <alignment horizontal="center" vertical="center"/>
    </xf>
    <xf numFmtId="0" fontId="85" fillId="37" borderId="39" xfId="0" applyFont="1" applyFill="1" applyBorder="1" applyAlignment="1">
      <alignment vertical="center"/>
    </xf>
    <xf numFmtId="0" fontId="85" fillId="37" borderId="21" xfId="0" applyFont="1" applyFill="1" applyBorder="1" applyAlignment="1">
      <alignment vertical="center"/>
    </xf>
    <xf numFmtId="4" fontId="85" fillId="37" borderId="21" xfId="0" applyNumberFormat="1" applyFont="1" applyFill="1" applyBorder="1" applyAlignment="1">
      <alignment horizontal="center" vertical="center"/>
    </xf>
    <xf numFmtId="0" fontId="85" fillId="37" borderId="40" xfId="0" applyFont="1" applyFill="1" applyBorder="1" applyAlignment="1">
      <alignment horizontal="center" vertical="center"/>
    </xf>
    <xf numFmtId="4" fontId="88" fillId="0" borderId="0" xfId="0" applyNumberFormat="1" applyFont="1" applyAlignment="1">
      <alignment vertical="center"/>
    </xf>
    <xf numFmtId="0" fontId="88" fillId="0" borderId="0" xfId="0" applyFont="1" applyAlignment="1">
      <alignment vertical="center"/>
    </xf>
    <xf numFmtId="0" fontId="85" fillId="37" borderId="39" xfId="0" applyFont="1" applyFill="1" applyBorder="1" applyAlignment="1">
      <alignment horizontal="center" vertical="center"/>
    </xf>
    <xf numFmtId="0" fontId="88" fillId="37" borderId="21" xfId="0" applyFont="1" applyFill="1" applyBorder="1" applyAlignment="1">
      <alignment horizontal="center" vertical="center"/>
    </xf>
    <xf numFmtId="4" fontId="88" fillId="37" borderId="21" xfId="0" applyNumberFormat="1" applyFont="1" applyFill="1" applyBorder="1" applyAlignment="1">
      <alignment horizontal="center" vertical="center"/>
    </xf>
    <xf numFmtId="0" fontId="88" fillId="37" borderId="39" xfId="0" applyFont="1" applyFill="1" applyBorder="1" applyAlignment="1">
      <alignment horizontal="center" vertical="center"/>
    </xf>
    <xf numFmtId="0" fontId="88" fillId="37" borderId="21" xfId="0" applyFont="1" applyFill="1" applyBorder="1" applyAlignment="1">
      <alignment horizontal="left" vertical="center"/>
    </xf>
    <xf numFmtId="0" fontId="85" fillId="0" borderId="0" xfId="0" applyFont="1"/>
    <xf numFmtId="4" fontId="85" fillId="37" borderId="40" xfId="0" applyNumberFormat="1" applyFont="1" applyFill="1" applyBorder="1" applyAlignment="1">
      <alignment horizontal="center" vertical="center"/>
    </xf>
    <xf numFmtId="0" fontId="88" fillId="0" borderId="23" xfId="411" applyFont="1" applyBorder="1"/>
    <xf numFmtId="0" fontId="88" fillId="0" borderId="0" xfId="411" applyFont="1"/>
    <xf numFmtId="0" fontId="88" fillId="0" borderId="28" xfId="411" applyFont="1" applyBorder="1"/>
    <xf numFmtId="10" fontId="88" fillId="0" borderId="0" xfId="779" applyNumberFormat="1" applyFont="1"/>
    <xf numFmtId="43" fontId="88" fillId="0" borderId="0" xfId="0" applyNumberFormat="1" applyFont="1"/>
    <xf numFmtId="0" fontId="88" fillId="37" borderId="21" xfId="0" applyFont="1" applyFill="1" applyBorder="1" applyAlignment="1">
      <alignment vertical="center" wrapText="1"/>
    </xf>
    <xf numFmtId="0" fontId="88" fillId="37" borderId="21" xfId="0" applyFont="1" applyFill="1" applyBorder="1" applyAlignment="1">
      <alignment vertical="center"/>
    </xf>
    <xf numFmtId="0" fontId="88" fillId="0" borderId="0" xfId="0" applyFont="1" applyAlignment="1">
      <alignment horizontal="center"/>
    </xf>
    <xf numFmtId="0" fontId="88" fillId="37" borderId="45" xfId="0" applyFont="1" applyFill="1" applyBorder="1" applyAlignment="1">
      <alignment horizontal="center" vertical="center"/>
    </xf>
    <xf numFmtId="4" fontId="88" fillId="37" borderId="47" xfId="0" applyNumberFormat="1" applyFont="1" applyFill="1" applyBorder="1" applyAlignment="1">
      <alignment horizontal="center" vertical="center"/>
    </xf>
    <xf numFmtId="166" fontId="88" fillId="0" borderId="0" xfId="779" applyFont="1"/>
    <xf numFmtId="4" fontId="88" fillId="0" borderId="0" xfId="0" applyNumberFormat="1" applyFont="1"/>
    <xf numFmtId="0" fontId="88" fillId="0" borderId="0" xfId="0" applyFont="1" applyAlignment="1">
      <alignment horizontal="center" vertical="center"/>
    </xf>
    <xf numFmtId="169" fontId="88" fillId="0" borderId="0" xfId="0" applyNumberFormat="1" applyFont="1"/>
    <xf numFmtId="4" fontId="88" fillId="37" borderId="0" xfId="0" applyNumberFormat="1" applyFont="1" applyFill="1"/>
    <xf numFmtId="0" fontId="88" fillId="0" borderId="0" xfId="575" applyNumberFormat="1" applyFont="1"/>
    <xf numFmtId="0" fontId="89" fillId="0" borderId="0" xfId="0" applyFont="1"/>
    <xf numFmtId="0" fontId="89" fillId="0" borderId="40" xfId="0" applyFont="1" applyBorder="1" applyAlignment="1">
      <alignment horizontal="center"/>
    </xf>
    <xf numFmtId="0" fontId="89" fillId="0" borderId="40" xfId="0" applyFont="1" applyBorder="1" applyAlignment="1">
      <alignment horizontal="center" vertical="center"/>
    </xf>
    <xf numFmtId="0" fontId="90" fillId="33" borderId="41" xfId="0" applyFont="1" applyFill="1" applyBorder="1" applyAlignment="1">
      <alignment horizontal="center" vertical="center"/>
    </xf>
    <xf numFmtId="0" fontId="90" fillId="33" borderId="22" xfId="0" applyFont="1" applyFill="1" applyBorder="1" applyAlignment="1">
      <alignment horizontal="center" vertical="center"/>
    </xf>
    <xf numFmtId="0" fontId="90" fillId="33" borderId="40" xfId="0" applyFont="1" applyFill="1" applyBorder="1" applyAlignment="1">
      <alignment horizontal="center" vertical="center" wrapText="1"/>
    </xf>
    <xf numFmtId="0" fontId="89" fillId="37" borderId="25" xfId="0" applyFont="1" applyFill="1" applyBorder="1" applyAlignment="1">
      <alignment horizontal="left" vertical="center"/>
    </xf>
    <xf numFmtId="166" fontId="90" fillId="0" borderId="40" xfId="779" applyFont="1" applyBorder="1" applyAlignment="1">
      <alignment vertical="center"/>
    </xf>
    <xf numFmtId="0" fontId="89" fillId="37" borderId="41" xfId="0" applyFont="1" applyFill="1" applyBorder="1" applyAlignment="1">
      <alignment horizontal="left" vertical="center"/>
    </xf>
    <xf numFmtId="0" fontId="89" fillId="37" borderId="27" xfId="0" applyFont="1" applyFill="1" applyBorder="1" applyAlignment="1">
      <alignment horizontal="left" vertical="center"/>
    </xf>
    <xf numFmtId="166" fontId="90" fillId="0" borderId="48" xfId="779" applyFont="1" applyBorder="1" applyAlignment="1">
      <alignment vertical="center"/>
    </xf>
    <xf numFmtId="0" fontId="91" fillId="0" borderId="23" xfId="0" applyFont="1" applyBorder="1" applyAlignment="1">
      <alignment vertical="center"/>
    </xf>
    <xf numFmtId="0" fontId="91" fillId="0" borderId="0" xfId="0" applyFont="1" applyAlignment="1">
      <alignment horizontal="left" vertical="center"/>
    </xf>
    <xf numFmtId="4" fontId="88" fillId="37" borderId="0" xfId="0" applyNumberFormat="1" applyFont="1" applyFill="1" applyAlignment="1">
      <alignment horizontal="center" vertical="center"/>
    </xf>
    <xf numFmtId="4" fontId="85" fillId="37" borderId="22" xfId="779" applyNumberFormat="1" applyFont="1" applyFill="1" applyBorder="1" applyAlignment="1">
      <alignment vertical="center" wrapText="1"/>
    </xf>
    <xf numFmtId="4" fontId="85" fillId="37" borderId="38" xfId="779" applyNumberFormat="1" applyFont="1" applyFill="1" applyBorder="1" applyAlignment="1">
      <alignment horizontal="center" vertical="center"/>
    </xf>
    <xf numFmtId="4" fontId="88" fillId="37" borderId="22" xfId="779" applyNumberFormat="1" applyFont="1" applyFill="1" applyBorder="1" applyAlignment="1">
      <alignment vertical="center" wrapText="1"/>
    </xf>
    <xf numFmtId="4" fontId="85" fillId="37" borderId="21" xfId="0" applyNumberFormat="1" applyFont="1" applyFill="1" applyBorder="1" applyAlignment="1">
      <alignment horizontal="center" vertical="center" wrapText="1"/>
    </xf>
    <xf numFmtId="4" fontId="85" fillId="37" borderId="47" xfId="0" applyNumberFormat="1" applyFont="1" applyFill="1" applyBorder="1" applyAlignment="1">
      <alignment horizontal="center" vertical="center"/>
    </xf>
    <xf numFmtId="4" fontId="64" fillId="0" borderId="21" xfId="0" applyNumberFormat="1" applyFont="1" applyBorder="1" applyAlignment="1">
      <alignment horizontal="center" vertical="center"/>
    </xf>
    <xf numFmtId="169" fontId="3" fillId="0" borderId="21" xfId="0" applyNumberFormat="1" applyFont="1" applyBorder="1" applyAlignment="1">
      <alignment horizontal="right" vertical="center"/>
    </xf>
    <xf numFmtId="4" fontId="3" fillId="0" borderId="21" xfId="0" applyNumberFormat="1" applyFont="1" applyBorder="1" applyAlignment="1">
      <alignment horizontal="right" vertical="center"/>
    </xf>
    <xf numFmtId="0" fontId="7" fillId="0" borderId="21" xfId="0" applyFont="1" applyBorder="1"/>
    <xf numFmtId="4" fontId="3" fillId="0" borderId="21" xfId="0" applyNumberFormat="1" applyFont="1" applyBorder="1" applyAlignment="1">
      <alignment horizontal="center" vertical="center"/>
    </xf>
    <xf numFmtId="0" fontId="88" fillId="37" borderId="39" xfId="0" applyFont="1" applyFill="1" applyBorder="1" applyAlignment="1">
      <alignment vertical="center"/>
    </xf>
    <xf numFmtId="2" fontId="88" fillId="37" borderId="21" xfId="779" applyNumberFormat="1" applyFont="1" applyFill="1" applyBorder="1" applyAlignment="1">
      <alignment horizontal="center" vertical="center"/>
    </xf>
    <xf numFmtId="4" fontId="89" fillId="33" borderId="44" xfId="0" applyNumberFormat="1" applyFont="1" applyFill="1" applyBorder="1" applyAlignment="1">
      <alignment horizontal="right" vertical="center"/>
    </xf>
    <xf numFmtId="4" fontId="89" fillId="33" borderId="43" xfId="0" applyNumberFormat="1" applyFont="1" applyFill="1" applyBorder="1" applyAlignment="1">
      <alignment horizontal="right" vertical="center"/>
    </xf>
    <xf numFmtId="4" fontId="90" fillId="33" borderId="42" xfId="0" applyNumberFormat="1" applyFont="1" applyFill="1" applyBorder="1" applyAlignment="1">
      <alignment horizontal="right" vertical="center"/>
    </xf>
    <xf numFmtId="0" fontId="9" fillId="0" borderId="51" xfId="0" applyFont="1" applyBorder="1" applyAlignment="1">
      <alignment vertical="center"/>
    </xf>
    <xf numFmtId="0" fontId="9" fillId="0" borderId="6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64" xfId="0" applyFont="1" applyBorder="1" applyAlignment="1">
      <alignment vertical="center"/>
    </xf>
    <xf numFmtId="0" fontId="9" fillId="0" borderId="69" xfId="0" applyFont="1" applyBorder="1" applyAlignment="1">
      <alignment vertical="center"/>
    </xf>
    <xf numFmtId="0" fontId="9" fillId="0" borderId="66" xfId="0" applyFont="1" applyBorder="1" applyAlignment="1">
      <alignment vertical="center"/>
    </xf>
    <xf numFmtId="0" fontId="12" fillId="0" borderId="51" xfId="0" applyFont="1" applyBorder="1" applyAlignment="1">
      <alignment vertical="center"/>
    </xf>
    <xf numFmtId="0" fontId="12" fillId="0" borderId="63" xfId="0" applyFont="1" applyBorder="1" applyAlignment="1">
      <alignment vertical="center"/>
    </xf>
    <xf numFmtId="0" fontId="68" fillId="37" borderId="26" xfId="0" applyFont="1" applyFill="1" applyBorder="1" applyAlignment="1">
      <alignment vertical="center"/>
    </xf>
    <xf numFmtId="0" fontId="68" fillId="37" borderId="27" xfId="0" applyFont="1" applyFill="1" applyBorder="1" applyAlignment="1">
      <alignment vertical="center"/>
    </xf>
    <xf numFmtId="164" fontId="0" fillId="0" borderId="0" xfId="789" applyFont="1"/>
    <xf numFmtId="10" fontId="2" fillId="0" borderId="0" xfId="575" applyNumberFormat="1" applyFont="1"/>
    <xf numFmtId="164" fontId="0" fillId="0" borderId="0" xfId="0" applyNumberFormat="1"/>
    <xf numFmtId="10" fontId="0" fillId="0" borderId="0" xfId="0" applyNumberFormat="1"/>
    <xf numFmtId="9" fontId="0" fillId="0" borderId="0" xfId="575" applyFont="1"/>
    <xf numFmtId="10" fontId="0" fillId="0" borderId="0" xfId="575" applyNumberFormat="1" applyFont="1"/>
    <xf numFmtId="166" fontId="0" fillId="0" borderId="0" xfId="779" applyFont="1"/>
    <xf numFmtId="0" fontId="88" fillId="0" borderId="39" xfId="0" applyFont="1" applyBorder="1" applyAlignment="1">
      <alignment horizontal="center" vertical="center"/>
    </xf>
    <xf numFmtId="0" fontId="88" fillId="0" borderId="21" xfId="0" applyFont="1" applyBorder="1" applyAlignment="1">
      <alignment vertical="center" wrapText="1"/>
    </xf>
    <xf numFmtId="0" fontId="88" fillId="0" borderId="21" xfId="0" applyFont="1" applyBorder="1" applyAlignment="1">
      <alignment horizontal="center" vertical="center"/>
    </xf>
    <xf numFmtId="4" fontId="88" fillId="0" borderId="21" xfId="0" applyNumberFormat="1" applyFont="1" applyBorder="1" applyAlignment="1">
      <alignment horizontal="center" vertical="center"/>
    </xf>
    <xf numFmtId="4" fontId="85" fillId="0" borderId="40" xfId="0" applyNumberFormat="1" applyFont="1" applyBorder="1" applyAlignment="1">
      <alignment horizontal="center" vertical="center"/>
    </xf>
    <xf numFmtId="166" fontId="88" fillId="0" borderId="0" xfId="779" applyFont="1" applyAlignment="1">
      <alignment vertical="center"/>
    </xf>
    <xf numFmtId="4" fontId="88" fillId="0" borderId="0" xfId="0" applyNumberFormat="1" applyFont="1" applyFill="1" applyAlignment="1">
      <alignment horizontal="center" vertical="center"/>
    </xf>
    <xf numFmtId="171" fontId="4" fillId="0" borderId="21" xfId="494" applyNumberFormat="1" applyFont="1" applyBorder="1" applyAlignment="1" applyProtection="1">
      <alignment horizontal="left" vertical="center" wrapText="1"/>
      <protection locked="0"/>
    </xf>
    <xf numFmtId="0" fontId="7" fillId="0" borderId="21" xfId="0" applyFont="1" applyBorder="1" applyAlignment="1">
      <alignment wrapText="1"/>
    </xf>
    <xf numFmtId="0" fontId="0" fillId="0" borderId="0" xfId="0" applyAlignment="1">
      <alignment wrapText="1"/>
    </xf>
    <xf numFmtId="0" fontId="9" fillId="37" borderId="53" xfId="0" applyFont="1" applyFill="1" applyBorder="1" applyAlignment="1">
      <alignment horizontal="left" vertical="center" wrapText="1"/>
    </xf>
    <xf numFmtId="0" fontId="9" fillId="37" borderId="50" xfId="0" applyFont="1" applyFill="1" applyBorder="1" applyAlignment="1">
      <alignment horizontal="left" vertical="center" wrapText="1"/>
    </xf>
    <xf numFmtId="0" fontId="2" fillId="37" borderId="26" xfId="0" applyFont="1" applyFill="1" applyBorder="1" applyAlignment="1">
      <alignment vertical="center" wrapText="1"/>
    </xf>
    <xf numFmtId="0" fontId="2" fillId="37" borderId="26" xfId="0" applyFont="1" applyFill="1" applyBorder="1" applyAlignment="1">
      <alignment horizontal="center" vertical="center" wrapText="1"/>
    </xf>
    <xf numFmtId="0" fontId="7" fillId="37" borderId="26" xfId="0" applyFont="1" applyFill="1" applyBorder="1" applyAlignment="1">
      <alignment vertical="center" wrapText="1"/>
    </xf>
    <xf numFmtId="0" fontId="9" fillId="37" borderId="26" xfId="0" applyFont="1" applyFill="1" applyBorder="1" applyAlignment="1">
      <alignment vertical="center" wrapText="1"/>
    </xf>
    <xf numFmtId="0" fontId="7" fillId="37" borderId="21" xfId="0" applyFont="1" applyFill="1" applyBorder="1" applyAlignment="1">
      <alignment horizontal="left" vertical="center" wrapText="1"/>
    </xf>
    <xf numFmtId="0" fontId="7" fillId="37" borderId="57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1" xfId="411" applyFont="1" applyFill="1" applyBorder="1" applyAlignment="1">
      <alignment horizontal="center" vertical="center" wrapText="1"/>
    </xf>
    <xf numFmtId="0" fontId="3" fillId="0" borderId="21" xfId="411" applyFont="1" applyFill="1" applyBorder="1" applyAlignment="1">
      <alignment horizontal="center" vertical="center"/>
    </xf>
    <xf numFmtId="0" fontId="7" fillId="0" borderId="21" xfId="0" applyFont="1" applyFill="1" applyBorder="1"/>
    <xf numFmtId="0" fontId="4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/>
    <xf numFmtId="0" fontId="4" fillId="0" borderId="21" xfId="41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3" fontId="3" fillId="0" borderId="21" xfId="494" applyNumberFormat="1" applyFont="1" applyFill="1" applyBorder="1" applyAlignment="1" applyProtection="1">
      <alignment horizontal="center" vertical="center"/>
      <protection locked="0"/>
    </xf>
    <xf numFmtId="0" fontId="8" fillId="34" borderId="22" xfId="0" applyFont="1" applyFill="1" applyBorder="1" applyAlignment="1">
      <alignment horizontal="center" vertical="center"/>
    </xf>
    <xf numFmtId="0" fontId="8" fillId="34" borderId="26" xfId="0" applyFont="1" applyFill="1" applyBorder="1" applyAlignment="1">
      <alignment horizontal="center" vertical="center"/>
    </xf>
    <xf numFmtId="0" fontId="8" fillId="34" borderId="27" xfId="0" applyFont="1" applyFill="1" applyBorder="1" applyAlignment="1">
      <alignment horizontal="center" vertical="center"/>
    </xf>
    <xf numFmtId="0" fontId="0" fillId="0" borderId="0" xfId="0"/>
    <xf numFmtId="0" fontId="10" fillId="0" borderId="21" xfId="0" applyFont="1" applyBorder="1" applyAlignment="1">
      <alignment horizontal="center" vertical="center" wrapText="1"/>
    </xf>
    <xf numFmtId="0" fontId="0" fillId="0" borderId="40" xfId="0" applyBorder="1"/>
    <xf numFmtId="0" fontId="9" fillId="0" borderId="39" xfId="0" applyFont="1" applyBorder="1" applyAlignment="1">
      <alignment horizontal="left" vertical="center"/>
    </xf>
    <xf numFmtId="3" fontId="9" fillId="0" borderId="45" xfId="0" applyNumberFormat="1" applyFont="1" applyBorder="1" applyAlignment="1">
      <alignment horizontal="left"/>
    </xf>
    <xf numFmtId="0" fontId="0" fillId="0" borderId="0" xfId="0" applyBorder="1"/>
    <xf numFmtId="40" fontId="3" fillId="0" borderId="0" xfId="779" applyNumberFormat="1" applyFont="1" applyBorder="1" applyAlignment="1">
      <alignment horizontal="center" vertical="center"/>
    </xf>
    <xf numFmtId="178" fontId="0" fillId="0" borderId="0" xfId="0" applyNumberFormat="1" applyBorder="1"/>
    <xf numFmtId="179" fontId="0" fillId="0" borderId="0" xfId="0" applyNumberFormat="1" applyBorder="1"/>
    <xf numFmtId="0" fontId="88" fillId="0" borderId="39" xfId="0" applyFont="1" applyFill="1" applyBorder="1" applyAlignment="1">
      <alignment horizontal="center" vertical="center"/>
    </xf>
    <xf numFmtId="0" fontId="88" fillId="0" borderId="21" xfId="0" applyFont="1" applyFill="1" applyBorder="1" applyAlignment="1">
      <alignment horizontal="center" vertical="center"/>
    </xf>
    <xf numFmtId="4" fontId="88" fillId="0" borderId="21" xfId="0" applyNumberFormat="1" applyFont="1" applyFill="1" applyBorder="1" applyAlignment="1">
      <alignment horizontal="center" vertical="center"/>
    </xf>
    <xf numFmtId="4" fontId="85" fillId="0" borderId="40" xfId="0" applyNumberFormat="1" applyFont="1" applyFill="1" applyBorder="1" applyAlignment="1">
      <alignment horizontal="center" vertical="center"/>
    </xf>
    <xf numFmtId="0" fontId="88" fillId="0" borderId="21" xfId="0" applyFont="1" applyFill="1" applyBorder="1" applyAlignment="1">
      <alignment vertical="center"/>
    </xf>
    <xf numFmtId="4" fontId="88" fillId="0" borderId="40" xfId="0" applyNumberFormat="1" applyFont="1" applyFill="1" applyBorder="1" applyAlignment="1">
      <alignment horizontal="center" vertical="center"/>
    </xf>
    <xf numFmtId="0" fontId="3" fillId="0" borderId="21" xfId="411" applyFont="1" applyFill="1" applyBorder="1" applyAlignment="1">
      <alignment horizontal="left" vertical="center" wrapText="1"/>
    </xf>
    <xf numFmtId="4" fontId="3" fillId="0" borderId="21" xfId="411" applyNumberFormat="1" applyFont="1" applyFill="1" applyBorder="1" applyAlignment="1">
      <alignment horizontal="right" vertical="center"/>
    </xf>
    <xf numFmtId="4" fontId="3" fillId="0" borderId="21" xfId="0" applyNumberFormat="1" applyFont="1" applyFill="1" applyBorder="1" applyAlignment="1">
      <alignment horizontal="right" vertical="center"/>
    </xf>
    <xf numFmtId="169" fontId="3" fillId="0" borderId="21" xfId="0" applyNumberFormat="1" applyFont="1" applyFill="1" applyBorder="1" applyAlignment="1">
      <alignment horizontal="right" vertical="center"/>
    </xf>
    <xf numFmtId="169" fontId="3" fillId="0" borderId="21" xfId="411" applyNumberFormat="1" applyFont="1" applyFill="1" applyBorder="1" applyAlignment="1">
      <alignment horizontal="right" vertical="center"/>
    </xf>
    <xf numFmtId="171" fontId="4" fillId="0" borderId="21" xfId="494" applyNumberFormat="1" applyFont="1" applyFill="1" applyBorder="1" applyAlignment="1" applyProtection="1">
      <alignment horizontal="left" vertical="center" wrapText="1"/>
      <protection locked="0"/>
    </xf>
    <xf numFmtId="0" fontId="4" fillId="0" borderId="21" xfId="411" applyFont="1" applyFill="1" applyBorder="1" applyAlignment="1">
      <alignment horizontal="left" vertical="center"/>
    </xf>
    <xf numFmtId="4" fontId="3" fillId="0" borderId="21" xfId="0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82" fillId="0" borderId="21" xfId="0" applyFont="1" applyFill="1" applyBorder="1" applyAlignment="1">
      <alignment vertical="center" wrapText="1"/>
    </xf>
    <xf numFmtId="171" fontId="3" fillId="0" borderId="21" xfId="494" applyNumberFormat="1" applyFont="1" applyFill="1" applyBorder="1" applyAlignment="1" applyProtection="1">
      <alignment horizontal="center" vertical="center" wrapText="1"/>
      <protection locked="0"/>
    </xf>
    <xf numFmtId="0" fontId="4" fillId="0" borderId="21" xfId="0" applyFont="1" applyFill="1" applyBorder="1" applyAlignment="1">
      <alignment vertical="center" wrapText="1"/>
    </xf>
    <xf numFmtId="2" fontId="88" fillId="37" borderId="21" xfId="0" applyNumberFormat="1" applyFont="1" applyFill="1" applyBorder="1" applyAlignment="1">
      <alignment horizontal="center" vertical="center"/>
    </xf>
    <xf numFmtId="0" fontId="90" fillId="37" borderId="41" xfId="0" applyFont="1" applyFill="1" applyBorder="1" applyAlignment="1">
      <alignment vertical="center"/>
    </xf>
    <xf numFmtId="0" fontId="90" fillId="0" borderId="45" xfId="0" applyFont="1" applyBorder="1"/>
    <xf numFmtId="0" fontId="85" fillId="37" borderId="21" xfId="0" applyFont="1" applyFill="1" applyBorder="1" applyAlignment="1">
      <alignment horizontal="center" vertical="center"/>
    </xf>
    <xf numFmtId="0" fontId="88" fillId="37" borderId="21" xfId="0" applyFont="1" applyFill="1" applyBorder="1" applyAlignment="1">
      <alignment horizontal="left" vertical="center" wrapText="1"/>
    </xf>
    <xf numFmtId="0" fontId="88" fillId="37" borderId="0" xfId="0" applyFont="1" applyFill="1" applyAlignment="1">
      <alignment horizontal="center" vertical="center"/>
    </xf>
    <xf numFmtId="4" fontId="88" fillId="37" borderId="40" xfId="0" applyNumberFormat="1" applyFont="1" applyFill="1" applyBorder="1" applyAlignment="1">
      <alignment vertical="center"/>
    </xf>
    <xf numFmtId="4" fontId="85" fillId="37" borderId="40" xfId="0" applyNumberFormat="1" applyFont="1" applyFill="1" applyBorder="1" applyAlignment="1">
      <alignment vertical="center"/>
    </xf>
    <xf numFmtId="0" fontId="88" fillId="37" borderId="47" xfId="0" applyFont="1" applyFill="1" applyBorder="1" applyAlignment="1">
      <alignment horizontal="center" vertical="center"/>
    </xf>
    <xf numFmtId="0" fontId="88" fillId="37" borderId="47" xfId="0" applyFont="1" applyFill="1" applyBorder="1" applyAlignment="1">
      <alignment vertical="center"/>
    </xf>
    <xf numFmtId="4" fontId="85" fillId="37" borderId="49" xfId="0" applyNumberFormat="1" applyFont="1" applyFill="1" applyBorder="1" applyAlignment="1">
      <alignment horizontal="center" vertical="center"/>
    </xf>
    <xf numFmtId="0" fontId="88" fillId="37" borderId="21" xfId="0" applyFont="1" applyFill="1" applyBorder="1" applyAlignment="1">
      <alignment horizontal="left" vertical="center" wrapText="1"/>
    </xf>
    <xf numFmtId="0" fontId="0" fillId="0" borderId="0" xfId="0"/>
    <xf numFmtId="0" fontId="88" fillId="37" borderId="21" xfId="0" applyFont="1" applyFill="1" applyBorder="1" applyAlignment="1">
      <alignment horizontal="center" vertical="center" wrapText="1"/>
    </xf>
    <xf numFmtId="0" fontId="8" fillId="0" borderId="21" xfId="411" applyFont="1" applyBorder="1" applyAlignment="1">
      <alignment horizontal="center" vertical="center"/>
    </xf>
    <xf numFmtId="0" fontId="8" fillId="0" borderId="21" xfId="422" applyFont="1" applyBorder="1" applyAlignment="1">
      <alignment horizontal="left" vertical="center" wrapText="1"/>
    </xf>
    <xf numFmtId="4" fontId="10" fillId="0" borderId="22" xfId="0" applyNumberFormat="1" applyFont="1" applyBorder="1" applyAlignment="1">
      <alignment horizontal="right"/>
    </xf>
    <xf numFmtId="169" fontId="9" fillId="0" borderId="60" xfId="779" applyNumberFormat="1" applyFont="1" applyBorder="1" applyAlignment="1">
      <alignment horizontal="center" vertical="center"/>
    </xf>
    <xf numFmtId="40" fontId="3" fillId="0" borderId="48" xfId="779" applyNumberFormat="1" applyFont="1" applyBorder="1" applyAlignment="1">
      <alignment horizontal="center" vertical="center"/>
    </xf>
    <xf numFmtId="0" fontId="0" fillId="0" borderId="48" xfId="0" applyBorder="1"/>
    <xf numFmtId="40" fontId="3" fillId="0" borderId="21" xfId="779" applyNumberFormat="1" applyFont="1" applyBorder="1" applyAlignment="1">
      <alignment horizontal="center" vertical="center"/>
    </xf>
    <xf numFmtId="0" fontId="0" fillId="0" borderId="21" xfId="0" applyBorder="1"/>
    <xf numFmtId="168" fontId="85" fillId="37" borderId="40" xfId="0" quotePrefix="1" applyNumberFormat="1" applyFont="1" applyFill="1" applyBorder="1" applyAlignment="1">
      <alignment horizontal="center" vertical="center"/>
    </xf>
    <xf numFmtId="0" fontId="90" fillId="0" borderId="34" xfId="0" applyFont="1" applyBorder="1" applyAlignment="1">
      <alignment horizontal="center" vertical="center"/>
    </xf>
    <xf numFmtId="0" fontId="90" fillId="0" borderId="35" xfId="0" applyFont="1" applyBorder="1" applyAlignment="1">
      <alignment horizontal="center" vertical="center"/>
    </xf>
    <xf numFmtId="0" fontId="90" fillId="0" borderId="36" xfId="0" applyFont="1" applyBorder="1" applyAlignment="1">
      <alignment horizontal="center" vertical="center"/>
    </xf>
    <xf numFmtId="0" fontId="90" fillId="37" borderId="39" xfId="0" applyFont="1" applyFill="1" applyBorder="1" applyAlignment="1">
      <alignment horizontal="center" vertical="center"/>
    </xf>
    <xf numFmtId="0" fontId="90" fillId="37" borderId="21" xfId="0" applyFont="1" applyFill="1" applyBorder="1" applyAlignment="1">
      <alignment horizontal="center" vertical="center"/>
    </xf>
    <xf numFmtId="0" fontId="90" fillId="37" borderId="40" xfId="0" applyFont="1" applyFill="1" applyBorder="1" applyAlignment="1">
      <alignment horizontal="center" vertical="center"/>
    </xf>
    <xf numFmtId="0" fontId="89" fillId="0" borderId="21" xfId="0" applyFont="1" applyBorder="1" applyAlignment="1">
      <alignment horizontal="center" vertical="center"/>
    </xf>
    <xf numFmtId="0" fontId="89" fillId="0" borderId="39" xfId="0" applyFont="1" applyBorder="1" applyAlignment="1">
      <alignment vertical="center"/>
    </xf>
    <xf numFmtId="0" fontId="89" fillId="0" borderId="58" xfId="0" applyFont="1" applyBorder="1" applyAlignment="1">
      <alignment horizontal="center" vertical="center"/>
    </xf>
    <xf numFmtId="0" fontId="89" fillId="0" borderId="59" xfId="0" applyFont="1" applyBorder="1" applyAlignment="1">
      <alignment horizontal="center" vertical="center"/>
    </xf>
    <xf numFmtId="0" fontId="89" fillId="0" borderId="46" xfId="0" applyFont="1" applyBorder="1" applyAlignment="1">
      <alignment horizontal="center" vertical="center"/>
    </xf>
    <xf numFmtId="0" fontId="89" fillId="0" borderId="37" xfId="0" applyFont="1" applyBorder="1" applyAlignment="1">
      <alignment horizontal="left" vertical="center"/>
    </xf>
    <xf numFmtId="0" fontId="89" fillId="0" borderId="25" xfId="0" applyFont="1" applyBorder="1" applyAlignment="1">
      <alignment horizontal="left" vertical="center"/>
    </xf>
    <xf numFmtId="0" fontId="89" fillId="0" borderId="38" xfId="0" applyFont="1" applyBorder="1" applyAlignment="1">
      <alignment horizontal="left" vertical="center"/>
    </xf>
    <xf numFmtId="166" fontId="89" fillId="33" borderId="44" xfId="779" applyFont="1" applyFill="1" applyBorder="1" applyAlignment="1">
      <alignment horizontal="right" vertical="center"/>
    </xf>
    <xf numFmtId="166" fontId="89" fillId="33" borderId="42" xfId="779" applyFont="1" applyFill="1" applyBorder="1" applyAlignment="1">
      <alignment horizontal="right" vertical="center"/>
    </xf>
    <xf numFmtId="166" fontId="89" fillId="33" borderId="43" xfId="779" applyFont="1" applyFill="1" applyBorder="1" applyAlignment="1">
      <alignment horizontal="right" vertical="center"/>
    </xf>
    <xf numFmtId="171" fontId="90" fillId="0" borderId="60" xfId="494" quotePrefix="1" applyNumberFormat="1" applyFont="1" applyBorder="1" applyAlignment="1">
      <alignment horizontal="left"/>
    </xf>
    <xf numFmtId="171" fontId="90" fillId="0" borderId="61" xfId="494" applyNumberFormat="1" applyFont="1" applyBorder="1" applyAlignment="1">
      <alignment horizontal="left"/>
    </xf>
    <xf numFmtId="0" fontId="90" fillId="0" borderId="62" xfId="0" applyFont="1" applyBorder="1" applyAlignment="1">
      <alignment horizontal="left" vertical="center"/>
    </xf>
    <xf numFmtId="0" fontId="90" fillId="0" borderId="63" xfId="0" applyFont="1" applyBorder="1" applyAlignment="1">
      <alignment horizontal="left" vertical="center"/>
    </xf>
    <xf numFmtId="0" fontId="90" fillId="0" borderId="23" xfId="0" applyFont="1" applyBorder="1" applyAlignment="1">
      <alignment horizontal="left" vertical="center"/>
    </xf>
    <xf numFmtId="0" fontId="90" fillId="0" borderId="64" xfId="0" applyFont="1" applyBorder="1" applyAlignment="1">
      <alignment horizontal="left" vertical="center"/>
    </xf>
    <xf numFmtId="0" fontId="90" fillId="0" borderId="65" xfId="0" applyFont="1" applyBorder="1" applyAlignment="1">
      <alignment horizontal="left" vertical="center"/>
    </xf>
    <xf numFmtId="0" fontId="90" fillId="0" borderId="66" xfId="0" applyFont="1" applyBorder="1" applyAlignment="1">
      <alignment horizontal="left" vertical="center"/>
    </xf>
    <xf numFmtId="0" fontId="89" fillId="0" borderId="41" xfId="0" applyFont="1" applyBorder="1" applyAlignment="1">
      <alignment horizontal="left" vertical="center"/>
    </xf>
    <xf numFmtId="0" fontId="89" fillId="0" borderId="27" xfId="0" applyFont="1" applyBorder="1" applyAlignment="1">
      <alignment horizontal="left" vertical="center"/>
    </xf>
    <xf numFmtId="0" fontId="90" fillId="0" borderId="22" xfId="0" applyFont="1" applyBorder="1" applyAlignment="1">
      <alignment horizontal="left" vertical="center" wrapText="1"/>
    </xf>
    <xf numFmtId="0" fontId="90" fillId="0" borderId="48" xfId="0" applyFont="1" applyBorder="1" applyAlignment="1">
      <alignment horizontal="left" vertical="center" wrapText="1"/>
    </xf>
    <xf numFmtId="0" fontId="90" fillId="0" borderId="21" xfId="0" applyFont="1" applyBorder="1" applyAlignment="1">
      <alignment vertical="center"/>
    </xf>
    <xf numFmtId="0" fontId="90" fillId="0" borderId="40" xfId="0" applyFont="1" applyBorder="1" applyAlignment="1">
      <alignment vertical="center"/>
    </xf>
    <xf numFmtId="0" fontId="89" fillId="0" borderId="37" xfId="0" applyFont="1" applyBorder="1" applyAlignment="1">
      <alignment horizontal="left" vertical="center" wrapText="1"/>
    </xf>
    <xf numFmtId="0" fontId="89" fillId="0" borderId="25" xfId="0" applyFont="1" applyBorder="1" applyAlignment="1">
      <alignment horizontal="left" vertical="center" wrapText="1"/>
    </xf>
    <xf numFmtId="0" fontId="89" fillId="0" borderId="38" xfId="0" applyFont="1" applyBorder="1" applyAlignment="1">
      <alignment horizontal="left" vertical="center" wrapText="1"/>
    </xf>
    <xf numFmtId="4" fontId="89" fillId="33" borderId="44" xfId="0" applyNumberFormat="1" applyFont="1" applyFill="1" applyBorder="1" applyAlignment="1">
      <alignment horizontal="right" vertical="center"/>
    </xf>
    <xf numFmtId="4" fontId="89" fillId="33" borderId="42" xfId="0" applyNumberFormat="1" applyFont="1" applyFill="1" applyBorder="1" applyAlignment="1">
      <alignment horizontal="right" vertical="center"/>
    </xf>
    <xf numFmtId="4" fontId="89" fillId="33" borderId="43" xfId="0" applyNumberFormat="1" applyFont="1" applyFill="1" applyBorder="1" applyAlignment="1">
      <alignment horizontal="right" vertical="center"/>
    </xf>
    <xf numFmtId="4" fontId="11" fillId="33" borderId="21" xfId="0" applyNumberFormat="1" applyFont="1" applyFill="1" applyBorder="1" applyAlignment="1">
      <alignment horizontal="center" vertical="center"/>
    </xf>
    <xf numFmtId="4" fontId="11" fillId="0" borderId="21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85" fillId="37" borderId="41" xfId="0" applyFont="1" applyFill="1" applyBorder="1" applyAlignment="1">
      <alignment horizontal="center" vertical="center" wrapText="1"/>
    </xf>
    <xf numFmtId="0" fontId="85" fillId="37" borderId="26" xfId="0" applyFont="1" applyFill="1" applyBorder="1" applyAlignment="1">
      <alignment horizontal="center" vertical="center" wrapText="1"/>
    </xf>
    <xf numFmtId="0" fontId="85" fillId="37" borderId="27" xfId="0" applyFont="1" applyFill="1" applyBorder="1" applyAlignment="1">
      <alignment horizontal="center" vertical="center" wrapText="1"/>
    </xf>
    <xf numFmtId="0" fontId="85" fillId="37" borderId="35" xfId="0" applyFont="1" applyFill="1" applyBorder="1" applyAlignment="1">
      <alignment horizontal="center" vertical="center"/>
    </xf>
    <xf numFmtId="0" fontId="85" fillId="37" borderId="22" xfId="0" applyFont="1" applyFill="1" applyBorder="1" applyAlignment="1">
      <alignment horizontal="left" vertical="center" wrapText="1"/>
    </xf>
    <xf numFmtId="0" fontId="85" fillId="37" borderId="26" xfId="0" applyFont="1" applyFill="1" applyBorder="1" applyAlignment="1">
      <alignment horizontal="left" vertical="center" wrapText="1"/>
    </xf>
    <xf numFmtId="0" fontId="85" fillId="37" borderId="27" xfId="0" applyFont="1" applyFill="1" applyBorder="1" applyAlignment="1">
      <alignment horizontal="left" vertical="center" wrapText="1"/>
    </xf>
    <xf numFmtId="4" fontId="85" fillId="37" borderId="67" xfId="0" applyNumberFormat="1" applyFont="1" applyFill="1" applyBorder="1" applyAlignment="1">
      <alignment horizontal="center" vertical="center"/>
    </xf>
    <xf numFmtId="4" fontId="85" fillId="37" borderId="43" xfId="0" applyNumberFormat="1" applyFont="1" applyFill="1" applyBorder="1" applyAlignment="1">
      <alignment horizontal="center" vertical="center"/>
    </xf>
    <xf numFmtId="0" fontId="85" fillId="37" borderId="22" xfId="0" applyFont="1" applyFill="1" applyBorder="1" applyAlignment="1">
      <alignment horizontal="left" vertical="center"/>
    </xf>
    <xf numFmtId="0" fontId="85" fillId="37" borderId="26" xfId="0" applyFont="1" applyFill="1" applyBorder="1" applyAlignment="1">
      <alignment horizontal="left" vertical="center"/>
    </xf>
    <xf numFmtId="0" fontId="85" fillId="37" borderId="27" xfId="0" applyFont="1" applyFill="1" applyBorder="1" applyAlignment="1">
      <alignment horizontal="left" vertical="center"/>
    </xf>
    <xf numFmtId="0" fontId="85" fillId="37" borderId="21" xfId="0" applyFont="1" applyFill="1" applyBorder="1" applyAlignment="1">
      <alignment horizontal="center" vertical="center"/>
    </xf>
    <xf numFmtId="0" fontId="85" fillId="37" borderId="21" xfId="0" applyFont="1" applyFill="1" applyBorder="1" applyAlignment="1">
      <alignment horizontal="left" vertical="center" wrapText="1"/>
    </xf>
    <xf numFmtId="0" fontId="85" fillId="37" borderId="34" xfId="0" applyFont="1" applyFill="1" applyBorder="1" applyAlignment="1">
      <alignment horizontal="center" vertical="center" wrapText="1"/>
    </xf>
    <xf numFmtId="0" fontId="85" fillId="37" borderId="35" xfId="0" applyFont="1" applyFill="1" applyBorder="1" applyAlignment="1">
      <alignment horizontal="center" vertical="center" wrapText="1"/>
    </xf>
    <xf numFmtId="0" fontId="85" fillId="37" borderId="46" xfId="0" applyFont="1" applyFill="1" applyBorder="1" applyAlignment="1">
      <alignment horizontal="center" vertical="center" wrapText="1"/>
    </xf>
    <xf numFmtId="0" fontId="85" fillId="37" borderId="38" xfId="0" applyFont="1" applyFill="1" applyBorder="1" applyAlignment="1">
      <alignment horizontal="center" vertical="center" wrapText="1"/>
    </xf>
    <xf numFmtId="0" fontId="85" fillId="37" borderId="39" xfId="0" applyFont="1" applyFill="1" applyBorder="1" applyAlignment="1">
      <alignment horizontal="center" vertical="center" wrapText="1"/>
    </xf>
    <xf numFmtId="0" fontId="85" fillId="37" borderId="21" xfId="0" applyFont="1" applyFill="1" applyBorder="1" applyAlignment="1">
      <alignment horizontal="center" vertical="center" wrapText="1"/>
    </xf>
    <xf numFmtId="4" fontId="8" fillId="0" borderId="50" xfId="0" applyNumberFormat="1" applyFont="1" applyBorder="1" applyAlignment="1">
      <alignment horizontal="center" vertical="center"/>
    </xf>
    <xf numFmtId="4" fontId="8" fillId="0" borderId="51" xfId="0" applyNumberFormat="1" applyFont="1" applyBorder="1" applyAlignment="1">
      <alignment horizontal="center" vertical="center"/>
    </xf>
    <xf numFmtId="4" fontId="8" fillId="0" borderId="63" xfId="0" applyNumberFormat="1" applyFont="1" applyBorder="1" applyAlignment="1">
      <alignment horizontal="center" vertical="center"/>
    </xf>
    <xf numFmtId="0" fontId="8" fillId="34" borderId="21" xfId="0" applyFont="1" applyFill="1" applyBorder="1" applyAlignment="1">
      <alignment horizontal="center" vertical="center"/>
    </xf>
    <xf numFmtId="0" fontId="8" fillId="34" borderId="22" xfId="0" applyFont="1" applyFill="1" applyBorder="1" applyAlignment="1">
      <alignment horizontal="center" vertical="center"/>
    </xf>
    <xf numFmtId="0" fontId="8" fillId="34" borderId="26" xfId="0" applyFont="1" applyFill="1" applyBorder="1" applyAlignment="1">
      <alignment horizontal="center" vertical="center"/>
    </xf>
    <xf numFmtId="0" fontId="8" fillId="34" borderId="27" xfId="0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left" vertical="center" wrapText="1" indent="1"/>
    </xf>
    <xf numFmtId="2" fontId="8" fillId="0" borderId="21" xfId="0" applyNumberFormat="1" applyFont="1" applyBorder="1" applyAlignment="1">
      <alignment horizontal="center" vertical="center"/>
    </xf>
    <xf numFmtId="39" fontId="8" fillId="0" borderId="21" xfId="779" applyNumberFormat="1" applyFont="1" applyBorder="1" applyAlignment="1">
      <alignment horizontal="center" vertical="center"/>
    </xf>
    <xf numFmtId="4" fontId="8" fillId="0" borderId="21" xfId="0" applyNumberFormat="1" applyFont="1" applyBorder="1" applyAlignment="1">
      <alignment horizontal="center" vertical="center"/>
    </xf>
    <xf numFmtId="10" fontId="8" fillId="0" borderId="21" xfId="0" applyNumberFormat="1" applyFont="1" applyBorder="1" applyAlignment="1">
      <alignment horizontal="center" vertical="center"/>
    </xf>
    <xf numFmtId="10" fontId="8" fillId="0" borderId="69" xfId="0" applyNumberFormat="1" applyFont="1" applyBorder="1" applyAlignment="1">
      <alignment horizontal="center" vertical="center"/>
    </xf>
    <xf numFmtId="10" fontId="8" fillId="0" borderId="66" xfId="0" applyNumberFormat="1" applyFont="1" applyBorder="1" applyAlignment="1">
      <alignment horizontal="center" vertical="center"/>
    </xf>
    <xf numFmtId="10" fontId="8" fillId="0" borderId="68" xfId="0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wrapText="1"/>
    </xf>
    <xf numFmtId="0" fontId="9" fillId="0" borderId="26" xfId="0" applyFont="1" applyBorder="1" applyAlignment="1">
      <alignment horizontal="center" wrapText="1"/>
    </xf>
    <xf numFmtId="0" fontId="9" fillId="0" borderId="27" xfId="0" applyFont="1" applyBorder="1" applyAlignment="1">
      <alignment horizontal="center" wrapText="1"/>
    </xf>
    <xf numFmtId="0" fontId="7" fillId="0" borderId="21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68" fillId="37" borderId="21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175" fontId="8" fillId="0" borderId="68" xfId="0" applyNumberFormat="1" applyFont="1" applyBorder="1" applyAlignment="1">
      <alignment horizontal="center" vertical="center"/>
    </xf>
    <xf numFmtId="175" fontId="8" fillId="0" borderId="69" xfId="0" applyNumberFormat="1" applyFont="1" applyBorder="1" applyAlignment="1">
      <alignment horizontal="center" vertical="center"/>
    </xf>
    <xf numFmtId="175" fontId="8" fillId="0" borderId="66" xfId="0" applyNumberFormat="1" applyFont="1" applyBorder="1" applyAlignment="1">
      <alignment horizontal="center" vertical="center"/>
    </xf>
    <xf numFmtId="0" fontId="8" fillId="37" borderId="22" xfId="0" applyFont="1" applyFill="1" applyBorder="1" applyAlignment="1">
      <alignment horizontal="center" vertical="center"/>
    </xf>
    <xf numFmtId="0" fontId="8" fillId="37" borderId="26" xfId="0" applyFont="1" applyFill="1" applyBorder="1" applyAlignment="1">
      <alignment horizontal="center" vertical="center"/>
    </xf>
    <xf numFmtId="0" fontId="8" fillId="37" borderId="27" xfId="0" applyFont="1" applyFill="1" applyBorder="1" applyAlignment="1">
      <alignment horizontal="center" vertical="center"/>
    </xf>
    <xf numFmtId="9" fontId="8" fillId="0" borderId="22" xfId="0" applyNumberFormat="1" applyFont="1" applyBorder="1" applyAlignment="1">
      <alignment horizontal="center" vertical="center"/>
    </xf>
    <xf numFmtId="9" fontId="8" fillId="0" borderId="26" xfId="0" applyNumberFormat="1" applyFont="1" applyBorder="1" applyAlignment="1">
      <alignment horizontal="center" vertical="center"/>
    </xf>
    <xf numFmtId="9" fontId="8" fillId="0" borderId="27" xfId="0" applyNumberFormat="1" applyFont="1" applyBorder="1" applyAlignment="1">
      <alignment horizontal="center" vertical="center"/>
    </xf>
    <xf numFmtId="9" fontId="8" fillId="0" borderId="68" xfId="0" applyNumberFormat="1" applyFont="1" applyBorder="1" applyAlignment="1">
      <alignment horizontal="center" vertical="center"/>
    </xf>
    <xf numFmtId="9" fontId="8" fillId="0" borderId="69" xfId="0" applyNumberFormat="1" applyFont="1" applyBorder="1" applyAlignment="1">
      <alignment horizontal="center" vertical="center"/>
    </xf>
    <xf numFmtId="9" fontId="8" fillId="0" borderId="66" xfId="0" applyNumberFormat="1" applyFont="1" applyBorder="1" applyAlignment="1">
      <alignment horizontal="center" vertical="center"/>
    </xf>
    <xf numFmtId="4" fontId="8" fillId="0" borderId="22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center"/>
    </xf>
    <xf numFmtId="4" fontId="8" fillId="0" borderId="27" xfId="0" applyNumberFormat="1" applyFont="1" applyBorder="1" applyAlignment="1">
      <alignment horizontal="center" vertical="center"/>
    </xf>
    <xf numFmtId="10" fontId="8" fillId="0" borderId="21" xfId="575" applyNumberFormat="1" applyFont="1" applyBorder="1" applyAlignment="1">
      <alignment horizontal="center" vertical="center"/>
    </xf>
    <xf numFmtId="10" fontId="8" fillId="0" borderId="26" xfId="575" applyNumberFormat="1" applyFont="1" applyBorder="1" applyAlignment="1">
      <alignment horizontal="center" vertical="center"/>
    </xf>
    <xf numFmtId="10" fontId="8" fillId="0" borderId="27" xfId="575" applyNumberFormat="1" applyFont="1" applyBorder="1" applyAlignment="1">
      <alignment horizontal="center" vertical="center"/>
    </xf>
    <xf numFmtId="10" fontId="8" fillId="0" borderId="68" xfId="575" applyNumberFormat="1" applyFont="1" applyBorder="1" applyAlignment="1">
      <alignment horizontal="center" vertical="center"/>
    </xf>
    <xf numFmtId="10" fontId="8" fillId="0" borderId="69" xfId="575" applyNumberFormat="1" applyFont="1" applyBorder="1" applyAlignment="1">
      <alignment horizontal="center" vertical="center"/>
    </xf>
    <xf numFmtId="10" fontId="8" fillId="0" borderId="66" xfId="575" applyNumberFormat="1" applyFont="1" applyBorder="1" applyAlignment="1">
      <alignment horizontal="center" vertical="center"/>
    </xf>
    <xf numFmtId="10" fontId="8" fillId="0" borderId="22" xfId="575" applyNumberFormat="1" applyFont="1" applyBorder="1" applyAlignment="1">
      <alignment horizontal="center" vertical="center"/>
    </xf>
    <xf numFmtId="177" fontId="8" fillId="0" borderId="21" xfId="0" applyNumberFormat="1" applyFont="1" applyBorder="1" applyAlignment="1">
      <alignment horizontal="center" vertical="center"/>
    </xf>
    <xf numFmtId="177" fontId="8" fillId="37" borderId="22" xfId="0" applyNumberFormat="1" applyFont="1" applyFill="1" applyBorder="1" applyAlignment="1">
      <alignment horizontal="center" vertical="center"/>
    </xf>
    <xf numFmtId="177" fontId="8" fillId="37" borderId="26" xfId="0" applyNumberFormat="1" applyFont="1" applyFill="1" applyBorder="1" applyAlignment="1">
      <alignment horizontal="center" vertical="center"/>
    </xf>
    <xf numFmtId="177" fontId="8" fillId="37" borderId="27" xfId="0" applyNumberFormat="1" applyFont="1" applyFill="1" applyBorder="1" applyAlignment="1">
      <alignment horizontal="center" vertical="center"/>
    </xf>
    <xf numFmtId="2" fontId="8" fillId="0" borderId="37" xfId="0" applyNumberFormat="1" applyFont="1" applyBorder="1" applyAlignment="1">
      <alignment horizontal="center" vertical="center"/>
    </xf>
    <xf numFmtId="2" fontId="8" fillId="0" borderId="25" xfId="0" applyNumberFormat="1" applyFont="1" applyBorder="1" applyAlignment="1">
      <alignment horizontal="center" vertical="center"/>
    </xf>
    <xf numFmtId="2" fontId="8" fillId="0" borderId="38" xfId="0" applyNumberFormat="1" applyFont="1" applyBorder="1" applyAlignment="1">
      <alignment horizontal="center" vertical="center"/>
    </xf>
    <xf numFmtId="9" fontId="8" fillId="0" borderId="21" xfId="0" applyNumberFormat="1" applyFont="1" applyBorder="1" applyAlignment="1">
      <alignment horizontal="left" vertical="center" indent="2"/>
    </xf>
    <xf numFmtId="166" fontId="8" fillId="0" borderId="21" xfId="779" applyFont="1" applyBorder="1" applyAlignment="1">
      <alignment vertical="center"/>
    </xf>
    <xf numFmtId="166" fontId="8" fillId="0" borderId="26" xfId="779" applyFont="1" applyBorder="1" applyAlignment="1">
      <alignment vertical="center"/>
    </xf>
    <xf numFmtId="166" fontId="8" fillId="0" borderId="27" xfId="779" applyFont="1" applyBorder="1" applyAlignment="1">
      <alignment vertical="center"/>
    </xf>
    <xf numFmtId="166" fontId="8" fillId="0" borderId="22" xfId="779" applyFont="1" applyBorder="1" applyAlignment="1">
      <alignment vertical="center"/>
    </xf>
    <xf numFmtId="3" fontId="10" fillId="0" borderId="21" xfId="0" applyNumberFormat="1" applyFont="1" applyBorder="1" applyAlignment="1">
      <alignment horizontal="center" vertical="center" wrapText="1"/>
    </xf>
    <xf numFmtId="0" fontId="9" fillId="37" borderId="35" xfId="0" applyFont="1" applyFill="1" applyBorder="1" applyAlignment="1">
      <alignment horizontal="center"/>
    </xf>
    <xf numFmtId="0" fontId="9" fillId="37" borderId="100" xfId="0" applyFont="1" applyFill="1" applyBorder="1" applyAlignment="1">
      <alignment horizontal="center"/>
    </xf>
    <xf numFmtId="0" fontId="9" fillId="37" borderId="36" xfId="0" applyFont="1" applyFill="1" applyBorder="1" applyAlignment="1">
      <alignment horizontal="center"/>
    </xf>
    <xf numFmtId="3" fontId="9" fillId="0" borderId="39" xfId="0" applyNumberFormat="1" applyFont="1" applyBorder="1" applyAlignment="1">
      <alignment horizontal="center" vertical="center"/>
    </xf>
    <xf numFmtId="3" fontId="9" fillId="0" borderId="21" xfId="0" applyNumberFormat="1" applyFont="1" applyBorder="1" applyAlignment="1">
      <alignment horizontal="center" vertical="center"/>
    </xf>
    <xf numFmtId="3" fontId="9" fillId="0" borderId="22" xfId="0" applyNumberFormat="1" applyFont="1" applyBorder="1" applyAlignment="1">
      <alignment horizontal="center" vertical="center"/>
    </xf>
    <xf numFmtId="3" fontId="9" fillId="0" borderId="40" xfId="0" applyNumberFormat="1" applyFont="1" applyBorder="1" applyAlignment="1">
      <alignment horizontal="center" vertical="center"/>
    </xf>
    <xf numFmtId="3" fontId="10" fillId="0" borderId="40" xfId="0" applyNumberFormat="1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3" fontId="10" fillId="0" borderId="39" xfId="0" applyNumberFormat="1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3" fontId="10" fillId="0" borderId="21" xfId="0" applyNumberFormat="1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3" fontId="10" fillId="0" borderId="21" xfId="0" applyNumberFormat="1" applyFont="1" applyBorder="1" applyAlignment="1">
      <alignment horizontal="center"/>
    </xf>
    <xf numFmtId="0" fontId="9" fillId="37" borderId="34" xfId="0" applyFont="1" applyFill="1" applyBorder="1" applyAlignment="1">
      <alignment horizontal="right"/>
    </xf>
    <xf numFmtId="0" fontId="9" fillId="37" borderId="35" xfId="0" applyFont="1" applyFill="1" applyBorder="1" applyAlignment="1">
      <alignment horizontal="right"/>
    </xf>
    <xf numFmtId="0" fontId="85" fillId="37" borderId="23" xfId="0" applyFont="1" applyFill="1" applyBorder="1" applyAlignment="1">
      <alignment horizontal="center" vertical="center"/>
    </xf>
    <xf numFmtId="0" fontId="85" fillId="37" borderId="0" xfId="0" applyFont="1" applyFill="1" applyAlignment="1">
      <alignment horizontal="center" vertical="center"/>
    </xf>
    <xf numFmtId="0" fontId="85" fillId="37" borderId="28" xfId="0" applyFont="1" applyFill="1" applyBorder="1" applyAlignment="1">
      <alignment horizontal="center" vertical="center"/>
    </xf>
    <xf numFmtId="0" fontId="85" fillId="37" borderId="24" xfId="0" applyFont="1" applyFill="1" applyBorder="1" applyAlignment="1">
      <alignment horizontal="center" vertical="center"/>
    </xf>
    <xf numFmtId="0" fontId="85" fillId="37" borderId="29" xfId="0" applyFont="1" applyFill="1" applyBorder="1" applyAlignment="1">
      <alignment horizontal="center" vertical="center"/>
    </xf>
    <xf numFmtId="0" fontId="85" fillId="37" borderId="30" xfId="0" applyFont="1" applyFill="1" applyBorder="1" applyAlignment="1">
      <alignment horizontal="center" vertical="center"/>
    </xf>
    <xf numFmtId="10" fontId="85" fillId="0" borderId="83" xfId="0" applyNumberFormat="1" applyFont="1" applyBorder="1" applyAlignment="1">
      <alignment horizontal="center" vertical="center"/>
    </xf>
    <xf numFmtId="10" fontId="73" fillId="0" borderId="84" xfId="0" applyNumberFormat="1" applyFont="1" applyBorder="1"/>
    <xf numFmtId="0" fontId="86" fillId="37" borderId="0" xfId="0" applyFont="1" applyFill="1" applyAlignment="1">
      <alignment horizontal="center" vertical="center"/>
    </xf>
    <xf numFmtId="0" fontId="73" fillId="37" borderId="0" xfId="0" applyFont="1" applyFill="1"/>
    <xf numFmtId="10" fontId="80" fillId="37" borderId="0" xfId="0" applyNumberFormat="1" applyFont="1" applyFill="1" applyAlignment="1">
      <alignment horizontal="center" vertical="center"/>
    </xf>
    <xf numFmtId="0" fontId="79" fillId="37" borderId="0" xfId="0" applyFont="1" applyFill="1"/>
    <xf numFmtId="0" fontId="81" fillId="37" borderId="0" xfId="0" applyFont="1" applyFill="1" applyAlignment="1">
      <alignment horizontal="center" vertical="center"/>
    </xf>
    <xf numFmtId="0" fontId="73" fillId="37" borderId="29" xfId="0" applyFont="1" applyFill="1" applyBorder="1"/>
    <xf numFmtId="165" fontId="85" fillId="0" borderId="85" xfId="0" applyNumberFormat="1" applyFont="1" applyBorder="1" applyAlignment="1">
      <alignment horizontal="center" vertical="center"/>
    </xf>
    <xf numFmtId="0" fontId="73" fillId="0" borderId="86" xfId="0" applyFont="1" applyBorder="1"/>
    <xf numFmtId="1" fontId="73" fillId="0" borderId="80" xfId="0" applyNumberFormat="1" applyFont="1" applyBorder="1" applyAlignment="1">
      <alignment horizontal="left"/>
    </xf>
    <xf numFmtId="0" fontId="73" fillId="0" borderId="81" xfId="0" applyFont="1" applyBorder="1"/>
    <xf numFmtId="0" fontId="73" fillId="0" borderId="82" xfId="0" applyFont="1" applyBorder="1"/>
    <xf numFmtId="1" fontId="72" fillId="0" borderId="80" xfId="0" applyNumberFormat="1" applyFont="1" applyBorder="1" applyAlignment="1">
      <alignment horizontal="left"/>
    </xf>
    <xf numFmtId="0" fontId="81" fillId="0" borderId="87" xfId="0" applyFont="1" applyBorder="1" applyAlignment="1">
      <alignment horizontal="center" vertical="center" wrapText="1"/>
    </xf>
    <xf numFmtId="0" fontId="73" fillId="0" borderId="88" xfId="0" applyFont="1" applyBorder="1"/>
    <xf numFmtId="0" fontId="73" fillId="0" borderId="89" xfId="0" applyFont="1" applyBorder="1"/>
    <xf numFmtId="0" fontId="73" fillId="0" borderId="23" xfId="0" applyFont="1" applyBorder="1"/>
    <xf numFmtId="0" fontId="73" fillId="0" borderId="0" xfId="0" applyFont="1"/>
    <xf numFmtId="0" fontId="73" fillId="0" borderId="90" xfId="0" applyFont="1" applyBorder="1"/>
    <xf numFmtId="0" fontId="77" fillId="0" borderId="91" xfId="0" applyFont="1" applyBorder="1" applyAlignment="1">
      <alignment horizontal="center" vertical="center"/>
    </xf>
    <xf numFmtId="0" fontId="73" fillId="0" borderId="32" xfId="0" applyFont="1" applyBorder="1"/>
    <xf numFmtId="0" fontId="73" fillId="0" borderId="92" xfId="0" applyFont="1" applyBorder="1"/>
    <xf numFmtId="0" fontId="73" fillId="0" borderId="93" xfId="0" applyFont="1" applyBorder="1"/>
    <xf numFmtId="0" fontId="73" fillId="0" borderId="29" xfId="0" applyFont="1" applyBorder="1"/>
    <xf numFmtId="0" fontId="73" fillId="0" borderId="94" xfId="0" applyFont="1" applyBorder="1"/>
    <xf numFmtId="1" fontId="72" fillId="0" borderId="95" xfId="0" applyNumberFormat="1" applyFont="1" applyBorder="1" applyAlignment="1">
      <alignment horizontal="left"/>
    </xf>
    <xf numFmtId="0" fontId="73" fillId="0" borderId="96" xfId="0" applyFont="1" applyBorder="1"/>
    <xf numFmtId="0" fontId="73" fillId="0" borderId="97" xfId="0" applyFont="1" applyBorder="1"/>
    <xf numFmtId="40" fontId="85" fillId="0" borderId="83" xfId="0" applyNumberFormat="1" applyFont="1" applyBorder="1" applyAlignment="1">
      <alignment horizontal="center" vertical="center"/>
    </xf>
    <xf numFmtId="0" fontId="73" fillId="0" borderId="84" xfId="0" applyFont="1" applyBorder="1"/>
    <xf numFmtId="1" fontId="75" fillId="36" borderId="80" xfId="0" applyNumberFormat="1" applyFont="1" applyFill="1" applyBorder="1" applyAlignment="1">
      <alignment horizontal="left"/>
    </xf>
    <xf numFmtId="0" fontId="75" fillId="36" borderId="81" xfId="0" applyFont="1" applyFill="1" applyBorder="1"/>
    <xf numFmtId="0" fontId="75" fillId="36" borderId="82" xfId="0" applyFont="1" applyFill="1" applyBorder="1"/>
    <xf numFmtId="1" fontId="73" fillId="0" borderId="81" xfId="0" applyNumberFormat="1" applyFont="1" applyBorder="1" applyAlignment="1">
      <alignment horizontal="left"/>
    </xf>
    <xf numFmtId="1" fontId="73" fillId="0" borderId="82" xfId="0" applyNumberFormat="1" applyFont="1" applyBorder="1" applyAlignment="1">
      <alignment horizontal="left"/>
    </xf>
    <xf numFmtId="1" fontId="73" fillId="36" borderId="80" xfId="0" applyNumberFormat="1" applyFont="1" applyFill="1" applyBorder="1" applyAlignment="1">
      <alignment horizontal="left"/>
    </xf>
    <xf numFmtId="0" fontId="73" fillId="36" borderId="81" xfId="0" applyFont="1" applyFill="1" applyBorder="1"/>
    <xf numFmtId="0" fontId="73" fillId="36" borderId="82" xfId="0" applyFont="1" applyFill="1" applyBorder="1"/>
    <xf numFmtId="1" fontId="6" fillId="37" borderId="0" xfId="0" applyNumberFormat="1" applyFont="1" applyFill="1" applyAlignment="1">
      <alignment horizontal="left"/>
    </xf>
    <xf numFmtId="0" fontId="6" fillId="37" borderId="0" xfId="0" applyFont="1" applyFill="1"/>
    <xf numFmtId="1" fontId="4" fillId="37" borderId="32" xfId="0" applyNumberFormat="1" applyFont="1" applyFill="1" applyBorder="1" applyAlignment="1">
      <alignment horizontal="left"/>
    </xf>
    <xf numFmtId="0" fontId="4" fillId="37" borderId="32" xfId="0" applyFont="1" applyFill="1" applyBorder="1"/>
    <xf numFmtId="0" fontId="4" fillId="37" borderId="33" xfId="0" applyFont="1" applyFill="1" applyBorder="1"/>
    <xf numFmtId="1" fontId="61" fillId="37" borderId="23" xfId="0" applyNumberFormat="1" applyFont="1" applyFill="1" applyBorder="1" applyAlignment="1">
      <alignment horizontal="left" vertical="center" wrapText="1"/>
    </xf>
    <xf numFmtId="1" fontId="61" fillId="37" borderId="0" xfId="0" applyNumberFormat="1" applyFont="1" applyFill="1" applyAlignment="1">
      <alignment horizontal="left" vertical="center" wrapText="1"/>
    </xf>
    <xf numFmtId="1" fontId="61" fillId="37" borderId="28" xfId="0" applyNumberFormat="1" applyFont="1" applyFill="1" applyBorder="1" applyAlignment="1">
      <alignment horizontal="left" vertical="center" wrapText="1"/>
    </xf>
    <xf numFmtId="1" fontId="4" fillId="37" borderId="23" xfId="0" applyNumberFormat="1" applyFont="1" applyFill="1" applyBorder="1" applyAlignment="1">
      <alignment horizontal="left"/>
    </xf>
    <xf numFmtId="1" fontId="4" fillId="37" borderId="0" xfId="0" applyNumberFormat="1" applyFont="1" applyFill="1" applyAlignment="1">
      <alignment horizontal="left"/>
    </xf>
    <xf numFmtId="1" fontId="4" fillId="37" borderId="28" xfId="0" applyNumberFormat="1" applyFont="1" applyFill="1" applyBorder="1" applyAlignment="1">
      <alignment horizontal="left"/>
    </xf>
    <xf numFmtId="0" fontId="77" fillId="0" borderId="98" xfId="0" applyFont="1" applyBorder="1" applyAlignment="1">
      <alignment horizontal="center" vertical="center"/>
    </xf>
    <xf numFmtId="0" fontId="73" fillId="0" borderId="99" xfId="0" applyFont="1" applyBorder="1"/>
    <xf numFmtId="1" fontId="73" fillId="37" borderId="24" xfId="0" applyNumberFormat="1" applyFont="1" applyFill="1" applyBorder="1" applyAlignment="1">
      <alignment horizontal="left"/>
    </xf>
    <xf numFmtId="1" fontId="73" fillId="37" borderId="29" xfId="0" applyNumberFormat="1" applyFont="1" applyFill="1" applyBorder="1" applyAlignment="1">
      <alignment horizontal="left"/>
    </xf>
    <xf numFmtId="0" fontId="73" fillId="37" borderId="30" xfId="0" applyFont="1" applyFill="1" applyBorder="1"/>
    <xf numFmtId="1" fontId="85" fillId="37" borderId="23" xfId="0" applyNumberFormat="1" applyFont="1" applyFill="1" applyBorder="1" applyAlignment="1">
      <alignment horizontal="left" vertical="center" wrapText="1"/>
    </xf>
    <xf numFmtId="1" fontId="85" fillId="37" borderId="0" xfId="0" applyNumberFormat="1" applyFont="1" applyFill="1" applyAlignment="1">
      <alignment horizontal="left" vertical="center" wrapText="1"/>
    </xf>
    <xf numFmtId="1" fontId="85" fillId="37" borderId="28" xfId="0" applyNumberFormat="1" applyFont="1" applyFill="1" applyBorder="1" applyAlignment="1">
      <alignment horizontal="left" vertical="center" wrapText="1"/>
    </xf>
    <xf numFmtId="1" fontId="85" fillId="37" borderId="23" xfId="0" applyNumberFormat="1" applyFont="1" applyFill="1" applyBorder="1" applyAlignment="1">
      <alignment horizontal="left"/>
    </xf>
    <xf numFmtId="1" fontId="85" fillId="37" borderId="0" xfId="0" applyNumberFormat="1" applyFont="1" applyFill="1" applyAlignment="1">
      <alignment horizontal="left"/>
    </xf>
    <xf numFmtId="1" fontId="85" fillId="37" borderId="28" xfId="0" applyNumberFormat="1" applyFont="1" applyFill="1" applyBorder="1" applyAlignment="1">
      <alignment horizontal="left"/>
    </xf>
    <xf numFmtId="1" fontId="85" fillId="37" borderId="31" xfId="0" applyNumberFormat="1" applyFont="1" applyFill="1" applyBorder="1" applyAlignment="1">
      <alignment horizontal="left"/>
    </xf>
    <xf numFmtId="0" fontId="85" fillId="37" borderId="32" xfId="0" applyFont="1" applyFill="1" applyBorder="1"/>
    <xf numFmtId="1" fontId="85" fillId="37" borderId="32" xfId="0" applyNumberFormat="1" applyFont="1" applyFill="1" applyBorder="1" applyAlignment="1">
      <alignment horizontal="left"/>
    </xf>
    <xf numFmtId="0" fontId="85" fillId="37" borderId="33" xfId="0" applyFont="1" applyFill="1" applyBorder="1"/>
    <xf numFmtId="0" fontId="85" fillId="37" borderId="0" xfId="0" applyFont="1" applyFill="1"/>
    <xf numFmtId="0" fontId="85" fillId="37" borderId="28" xfId="0" applyFont="1" applyFill="1" applyBorder="1"/>
    <xf numFmtId="0" fontId="65" fillId="39" borderId="31" xfId="0" applyFont="1" applyFill="1" applyBorder="1" applyAlignment="1">
      <alignment horizontal="center" wrapText="1"/>
    </xf>
    <xf numFmtId="0" fontId="0" fillId="0" borderId="32" xfId="0" applyBorder="1"/>
    <xf numFmtId="0" fontId="0" fillId="0" borderId="33" xfId="0" applyBorder="1"/>
    <xf numFmtId="0" fontId="66" fillId="39" borderId="23" xfId="0" applyFont="1" applyFill="1" applyBorder="1" applyAlignment="1">
      <alignment horizontal="left" vertical="top" wrapText="1"/>
    </xf>
    <xf numFmtId="0" fontId="67" fillId="39" borderId="0" xfId="0" applyFont="1" applyFill="1" applyAlignment="1">
      <alignment horizontal="left" vertical="top" wrapText="1"/>
    </xf>
    <xf numFmtId="0" fontId="0" fillId="0" borderId="0" xfId="0"/>
    <xf numFmtId="0" fontId="0" fillId="0" borderId="28" xfId="0" applyBorder="1"/>
    <xf numFmtId="0" fontId="3" fillId="33" borderId="39" xfId="0" applyFont="1" applyFill="1" applyBorder="1" applyAlignment="1">
      <alignment horizontal="left"/>
    </xf>
    <xf numFmtId="0" fontId="3" fillId="33" borderId="21" xfId="0" applyFont="1" applyFill="1" applyBorder="1" applyAlignment="1">
      <alignment horizontal="left"/>
    </xf>
    <xf numFmtId="0" fontId="3" fillId="37" borderId="41" xfId="0" applyFont="1" applyFill="1" applyBorder="1" applyAlignment="1">
      <alignment horizontal="center" vertical="center"/>
    </xf>
    <xf numFmtId="0" fontId="3" fillId="37" borderId="26" xfId="0" applyFont="1" applyFill="1" applyBorder="1" applyAlignment="1">
      <alignment horizontal="center" vertical="center"/>
    </xf>
    <xf numFmtId="0" fontId="3" fillId="37" borderId="27" xfId="0" applyFont="1" applyFill="1" applyBorder="1" applyAlignment="1">
      <alignment horizontal="center" vertical="center"/>
    </xf>
    <xf numFmtId="0" fontId="3" fillId="33" borderId="34" xfId="0" applyFont="1" applyFill="1" applyBorder="1" applyAlignment="1">
      <alignment horizontal="center"/>
    </xf>
    <xf numFmtId="0" fontId="3" fillId="33" borderId="35" xfId="0" applyFont="1" applyFill="1" applyBorder="1" applyAlignment="1">
      <alignment horizontal="center"/>
    </xf>
    <xf numFmtId="0" fontId="3" fillId="33" borderId="36" xfId="0" applyFont="1" applyFill="1" applyBorder="1" applyAlignment="1">
      <alignment horizontal="center"/>
    </xf>
    <xf numFmtId="0" fontId="3" fillId="37" borderId="48" xfId="0" applyFont="1" applyFill="1" applyBorder="1" applyAlignment="1">
      <alignment horizontal="center" vertical="center"/>
    </xf>
    <xf numFmtId="0" fontId="3" fillId="37" borderId="39" xfId="0" applyFont="1" applyFill="1" applyBorder="1" applyAlignment="1">
      <alignment horizontal="center" vertical="center"/>
    </xf>
    <xf numFmtId="0" fontId="3" fillId="37" borderId="21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37" borderId="40" xfId="0" applyFont="1" applyFill="1" applyBorder="1" applyAlignment="1">
      <alignment horizontal="center" vertical="center"/>
    </xf>
    <xf numFmtId="0" fontId="6" fillId="33" borderId="41" xfId="0" applyFont="1" applyFill="1" applyBorder="1" applyAlignment="1">
      <alignment horizontal="center" vertical="center"/>
    </xf>
    <xf numFmtId="0" fontId="6" fillId="33" borderId="26" xfId="0" applyFont="1" applyFill="1" applyBorder="1" applyAlignment="1">
      <alignment horizontal="center" vertical="center"/>
    </xf>
    <xf numFmtId="0" fontId="6" fillId="33" borderId="48" xfId="0" applyFont="1" applyFill="1" applyBorder="1" applyAlignment="1">
      <alignment horizontal="center" vertical="center"/>
    </xf>
    <xf numFmtId="0" fontId="3" fillId="37" borderId="39" xfId="0" applyFont="1" applyFill="1" applyBorder="1" applyAlignment="1">
      <alignment horizontal="center"/>
    </xf>
    <xf numFmtId="0" fontId="3" fillId="37" borderId="21" xfId="0" applyFont="1" applyFill="1" applyBorder="1" applyAlignment="1">
      <alignment horizontal="center"/>
    </xf>
    <xf numFmtId="0" fontId="6" fillId="33" borderId="39" xfId="0" applyFont="1" applyFill="1" applyBorder="1" applyAlignment="1">
      <alignment horizontal="center"/>
    </xf>
    <xf numFmtId="0" fontId="6" fillId="33" borderId="21" xfId="0" applyFont="1" applyFill="1" applyBorder="1" applyAlignment="1">
      <alignment horizontal="center"/>
    </xf>
    <xf numFmtId="0" fontId="5" fillId="33" borderId="41" xfId="0" applyFont="1" applyFill="1" applyBorder="1" applyAlignment="1">
      <alignment horizontal="center" vertical="center"/>
    </xf>
    <xf numFmtId="0" fontId="5" fillId="33" borderId="26" xfId="0" applyFont="1" applyFill="1" applyBorder="1" applyAlignment="1">
      <alignment horizontal="center" vertical="center"/>
    </xf>
    <xf numFmtId="0" fontId="5" fillId="33" borderId="48" xfId="0" applyFont="1" applyFill="1" applyBorder="1" applyAlignment="1">
      <alignment horizontal="center" vertical="center"/>
    </xf>
    <xf numFmtId="0" fontId="6" fillId="33" borderId="52" xfId="0" applyFont="1" applyFill="1" applyBorder="1" applyAlignment="1">
      <alignment horizontal="center"/>
    </xf>
    <xf numFmtId="0" fontId="6" fillId="33" borderId="53" xfId="0" applyFont="1" applyFill="1" applyBorder="1" applyAlignment="1">
      <alignment horizontal="center"/>
    </xf>
    <xf numFmtId="0" fontId="6" fillId="33" borderId="54" xfId="0" applyFont="1" applyFill="1" applyBorder="1" applyAlignment="1">
      <alignment horizontal="center"/>
    </xf>
    <xf numFmtId="0" fontId="11" fillId="33" borderId="41" xfId="0" applyFont="1" applyFill="1" applyBorder="1" applyAlignment="1">
      <alignment horizontal="center" vertical="center"/>
    </xf>
    <xf numFmtId="0" fontId="11" fillId="33" borderId="26" xfId="0" applyFont="1" applyFill="1" applyBorder="1" applyAlignment="1">
      <alignment horizontal="center" vertical="center"/>
    </xf>
    <xf numFmtId="0" fontId="11" fillId="33" borderId="48" xfId="0" applyFont="1" applyFill="1" applyBorder="1" applyAlignment="1">
      <alignment horizontal="center" vertical="center"/>
    </xf>
  </cellXfs>
  <cellStyles count="791">
    <cellStyle name=" 1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 2" xfId="8" xr:uid="{00000000-0005-0000-0000-000007000000}"/>
    <cellStyle name="20% - Ênfase1 2 2" xfId="9" xr:uid="{00000000-0005-0000-0000-000008000000}"/>
    <cellStyle name="20% - Ênfase1 2 3" xfId="10" xr:uid="{00000000-0005-0000-0000-000009000000}"/>
    <cellStyle name="20% - Ênfase1 2 4" xfId="11" xr:uid="{00000000-0005-0000-0000-00000A000000}"/>
    <cellStyle name="20% - Ênfase1 2_Compo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1 5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 4" xfId="19" xr:uid="{00000000-0005-0000-0000-000012000000}"/>
    <cellStyle name="20% - Ênfase2 2_Compo" xfId="20" xr:uid="{00000000-0005-0000-0000-000013000000}"/>
    <cellStyle name="20% - Ênfase2 3" xfId="21" xr:uid="{00000000-0005-0000-0000-000014000000}"/>
    <cellStyle name="20% - Ênfase2 4" xfId="22" xr:uid="{00000000-0005-0000-0000-000015000000}"/>
    <cellStyle name="20% - Ênfase2 5" xfId="23" xr:uid="{00000000-0005-0000-0000-000016000000}"/>
    <cellStyle name="20% - Ênfase3 2" xfId="24" xr:uid="{00000000-0005-0000-0000-000017000000}"/>
    <cellStyle name="20% - Ênfase3 2 2" xfId="25" xr:uid="{00000000-0005-0000-0000-000018000000}"/>
    <cellStyle name="20% - Ênfase3 2 3" xfId="26" xr:uid="{00000000-0005-0000-0000-000019000000}"/>
    <cellStyle name="20% - Ênfase3 2 4" xfId="27" xr:uid="{00000000-0005-0000-0000-00001A000000}"/>
    <cellStyle name="20% - Ênfase3 2_Compo" xfId="28" xr:uid="{00000000-0005-0000-0000-00001B000000}"/>
    <cellStyle name="20% - Ênfase3 3" xfId="29" xr:uid="{00000000-0005-0000-0000-00001C000000}"/>
    <cellStyle name="20% - Ênfase3 4" xfId="30" xr:uid="{00000000-0005-0000-0000-00001D000000}"/>
    <cellStyle name="20% - Ênfase3 5" xfId="31" xr:uid="{00000000-0005-0000-0000-00001E000000}"/>
    <cellStyle name="20% - Ênfase4 2" xfId="32" xr:uid="{00000000-0005-0000-0000-00001F000000}"/>
    <cellStyle name="20% - Ênfase4 2 2" xfId="33" xr:uid="{00000000-0005-0000-0000-000020000000}"/>
    <cellStyle name="20% - Ênfase4 2 3" xfId="34" xr:uid="{00000000-0005-0000-0000-000021000000}"/>
    <cellStyle name="20% - Ênfase4 2 4" xfId="35" xr:uid="{00000000-0005-0000-0000-000022000000}"/>
    <cellStyle name="20% - Ênfase4 2_Compo" xfId="36" xr:uid="{00000000-0005-0000-0000-000023000000}"/>
    <cellStyle name="20% - Ênfase4 3" xfId="37" xr:uid="{00000000-0005-0000-0000-000024000000}"/>
    <cellStyle name="20% - Ênfase4 4" xfId="38" xr:uid="{00000000-0005-0000-0000-000025000000}"/>
    <cellStyle name="20% - Ênfase4 5" xfId="39" xr:uid="{00000000-0005-0000-0000-000026000000}"/>
    <cellStyle name="20% - Ênfase5 2" xfId="40" xr:uid="{00000000-0005-0000-0000-000027000000}"/>
    <cellStyle name="20% - Ênfase5 2 2" xfId="41" xr:uid="{00000000-0005-0000-0000-000028000000}"/>
    <cellStyle name="20% - Ênfase5 2 3" xfId="42" xr:uid="{00000000-0005-0000-0000-000029000000}"/>
    <cellStyle name="20% - Ênfase5 2 4" xfId="43" xr:uid="{00000000-0005-0000-0000-00002A000000}"/>
    <cellStyle name="20% - Ênfase5 2_Compo" xfId="44" xr:uid="{00000000-0005-0000-0000-00002B000000}"/>
    <cellStyle name="20% - Ênfase5 3" xfId="45" xr:uid="{00000000-0005-0000-0000-00002C000000}"/>
    <cellStyle name="20% - Ênfase5 4" xfId="46" xr:uid="{00000000-0005-0000-0000-00002D000000}"/>
    <cellStyle name="20% - Ênfase5 5" xfId="47" xr:uid="{00000000-0005-0000-0000-00002E000000}"/>
    <cellStyle name="20% - Ênfase6 2" xfId="48" xr:uid="{00000000-0005-0000-0000-00002F000000}"/>
    <cellStyle name="20% - Ênfase6 2 2" xfId="49" xr:uid="{00000000-0005-0000-0000-000030000000}"/>
    <cellStyle name="20% - Ênfase6 2 3" xfId="50" xr:uid="{00000000-0005-0000-0000-000031000000}"/>
    <cellStyle name="20% - Ênfase6 2 4" xfId="51" xr:uid="{00000000-0005-0000-0000-000032000000}"/>
    <cellStyle name="20% - Ênfase6 2_Compo" xfId="52" xr:uid="{00000000-0005-0000-0000-000033000000}"/>
    <cellStyle name="20% - Ênfase6 3" xfId="53" xr:uid="{00000000-0005-0000-0000-000034000000}"/>
    <cellStyle name="20% - Ênfase6 4" xfId="54" xr:uid="{00000000-0005-0000-0000-000035000000}"/>
    <cellStyle name="20% - Ênfase6 5" xfId="55" xr:uid="{00000000-0005-0000-0000-000036000000}"/>
    <cellStyle name="40% - Accent1" xfId="56" xr:uid="{00000000-0005-0000-0000-000037000000}"/>
    <cellStyle name="40% - Accent2" xfId="57" xr:uid="{00000000-0005-0000-0000-000038000000}"/>
    <cellStyle name="40% - Accent3" xfId="58" xr:uid="{00000000-0005-0000-0000-000039000000}"/>
    <cellStyle name="40% - Accent4" xfId="59" xr:uid="{00000000-0005-0000-0000-00003A000000}"/>
    <cellStyle name="40% - Accent5" xfId="60" xr:uid="{00000000-0005-0000-0000-00003B000000}"/>
    <cellStyle name="40% - Accent6" xfId="61" xr:uid="{00000000-0005-0000-0000-00003C000000}"/>
    <cellStyle name="40% - Ênfase1 2" xfId="62" xr:uid="{00000000-0005-0000-0000-00003D000000}"/>
    <cellStyle name="40% - Ênfase1 2 2" xfId="63" xr:uid="{00000000-0005-0000-0000-00003E000000}"/>
    <cellStyle name="40% - Ênfase1 2 3" xfId="64" xr:uid="{00000000-0005-0000-0000-00003F000000}"/>
    <cellStyle name="40% - Ênfase1 2 4" xfId="65" xr:uid="{00000000-0005-0000-0000-000040000000}"/>
    <cellStyle name="40% - Ênfase1 2_Compo" xfId="66" xr:uid="{00000000-0005-0000-0000-000041000000}"/>
    <cellStyle name="40% - Ênfase1 3" xfId="67" xr:uid="{00000000-0005-0000-0000-000042000000}"/>
    <cellStyle name="40% - Ênfase1 4" xfId="68" xr:uid="{00000000-0005-0000-0000-000043000000}"/>
    <cellStyle name="40% - Ênfase1 5" xfId="69" xr:uid="{00000000-0005-0000-0000-000044000000}"/>
    <cellStyle name="40% - Ênfase2 2" xfId="70" xr:uid="{00000000-0005-0000-0000-000045000000}"/>
    <cellStyle name="40% - Ênfase2 2 2" xfId="71" xr:uid="{00000000-0005-0000-0000-000046000000}"/>
    <cellStyle name="40% - Ênfase2 2 3" xfId="72" xr:uid="{00000000-0005-0000-0000-000047000000}"/>
    <cellStyle name="40% - Ênfase2 2 4" xfId="73" xr:uid="{00000000-0005-0000-0000-000048000000}"/>
    <cellStyle name="40% - Ênfase2 2_Compo" xfId="74" xr:uid="{00000000-0005-0000-0000-000049000000}"/>
    <cellStyle name="40% - Ênfase2 3" xfId="75" xr:uid="{00000000-0005-0000-0000-00004A000000}"/>
    <cellStyle name="40% - Ênfase2 4" xfId="76" xr:uid="{00000000-0005-0000-0000-00004B000000}"/>
    <cellStyle name="40% - Ênfase2 5" xfId="77" xr:uid="{00000000-0005-0000-0000-00004C000000}"/>
    <cellStyle name="40% - Ênfase3 2" xfId="78" xr:uid="{00000000-0005-0000-0000-00004D000000}"/>
    <cellStyle name="40% - Ênfase3 2 2" xfId="79" xr:uid="{00000000-0005-0000-0000-00004E000000}"/>
    <cellStyle name="40% - Ênfase3 2 3" xfId="80" xr:uid="{00000000-0005-0000-0000-00004F000000}"/>
    <cellStyle name="40% - Ênfase3 2 4" xfId="81" xr:uid="{00000000-0005-0000-0000-000050000000}"/>
    <cellStyle name="40% - Ênfase3 2_Compo" xfId="82" xr:uid="{00000000-0005-0000-0000-000051000000}"/>
    <cellStyle name="40% - Ênfase3 3" xfId="83" xr:uid="{00000000-0005-0000-0000-000052000000}"/>
    <cellStyle name="40% - Ênfase3 4" xfId="84" xr:uid="{00000000-0005-0000-0000-000053000000}"/>
    <cellStyle name="40% - Ênfase3 5" xfId="85" xr:uid="{00000000-0005-0000-0000-000054000000}"/>
    <cellStyle name="40% - Ênfase4 2" xfId="86" xr:uid="{00000000-0005-0000-0000-000055000000}"/>
    <cellStyle name="40% - Ênfase4 2 2" xfId="87" xr:uid="{00000000-0005-0000-0000-000056000000}"/>
    <cellStyle name="40% - Ênfase4 2 3" xfId="88" xr:uid="{00000000-0005-0000-0000-000057000000}"/>
    <cellStyle name="40% - Ênfase4 2 4" xfId="89" xr:uid="{00000000-0005-0000-0000-000058000000}"/>
    <cellStyle name="40% - Ênfase4 2_Compo" xfId="90" xr:uid="{00000000-0005-0000-0000-000059000000}"/>
    <cellStyle name="40% - Ênfase4 3" xfId="91" xr:uid="{00000000-0005-0000-0000-00005A000000}"/>
    <cellStyle name="40% - Ênfase4 4" xfId="92" xr:uid="{00000000-0005-0000-0000-00005B000000}"/>
    <cellStyle name="40% - Ênfase4 5" xfId="93" xr:uid="{00000000-0005-0000-0000-00005C000000}"/>
    <cellStyle name="40% - Ênfase5 2" xfId="94" xr:uid="{00000000-0005-0000-0000-00005D000000}"/>
    <cellStyle name="40% - Ênfase5 2 2" xfId="95" xr:uid="{00000000-0005-0000-0000-00005E000000}"/>
    <cellStyle name="40% - Ênfase5 2 3" xfId="96" xr:uid="{00000000-0005-0000-0000-00005F000000}"/>
    <cellStyle name="40% - Ênfase5 2 4" xfId="97" xr:uid="{00000000-0005-0000-0000-000060000000}"/>
    <cellStyle name="40% - Ênfase5 2_Compo" xfId="98" xr:uid="{00000000-0005-0000-0000-000061000000}"/>
    <cellStyle name="40% - Ênfase5 3" xfId="99" xr:uid="{00000000-0005-0000-0000-000062000000}"/>
    <cellStyle name="40% - Ênfase5 4" xfId="100" xr:uid="{00000000-0005-0000-0000-000063000000}"/>
    <cellStyle name="40% - Ênfase5 5" xfId="101" xr:uid="{00000000-0005-0000-0000-000064000000}"/>
    <cellStyle name="40% - Ênfase6 2" xfId="102" xr:uid="{00000000-0005-0000-0000-000065000000}"/>
    <cellStyle name="40% - Ênfase6 2 2" xfId="103" xr:uid="{00000000-0005-0000-0000-000066000000}"/>
    <cellStyle name="40% - Ênfase6 2 3" xfId="104" xr:uid="{00000000-0005-0000-0000-000067000000}"/>
    <cellStyle name="40% - Ênfase6 2 4" xfId="105" xr:uid="{00000000-0005-0000-0000-000068000000}"/>
    <cellStyle name="40% - Ênfase6 2_Compo" xfId="106" xr:uid="{00000000-0005-0000-0000-000069000000}"/>
    <cellStyle name="40% - Ênfase6 3" xfId="107" xr:uid="{00000000-0005-0000-0000-00006A000000}"/>
    <cellStyle name="40% - Ênfase6 4" xfId="108" xr:uid="{00000000-0005-0000-0000-00006B000000}"/>
    <cellStyle name="40% - Ênfase6 5" xfId="109" xr:uid="{00000000-0005-0000-0000-00006C000000}"/>
    <cellStyle name="60% - Accent1" xfId="110" xr:uid="{00000000-0005-0000-0000-00006D000000}"/>
    <cellStyle name="60% - Accent2" xfId="111" xr:uid="{00000000-0005-0000-0000-00006E000000}"/>
    <cellStyle name="60% - Accent3" xfId="112" xr:uid="{00000000-0005-0000-0000-00006F000000}"/>
    <cellStyle name="60% - Accent4" xfId="113" xr:uid="{00000000-0005-0000-0000-000070000000}"/>
    <cellStyle name="60% - Accent5" xfId="114" xr:uid="{00000000-0005-0000-0000-000071000000}"/>
    <cellStyle name="60% - Accent6" xfId="115" xr:uid="{00000000-0005-0000-0000-000072000000}"/>
    <cellStyle name="60% - Ênfase1 2" xfId="116" xr:uid="{00000000-0005-0000-0000-000073000000}"/>
    <cellStyle name="60% - Ênfase1 2 2" xfId="117" xr:uid="{00000000-0005-0000-0000-000074000000}"/>
    <cellStyle name="60% - Ênfase1 2 3" xfId="118" xr:uid="{00000000-0005-0000-0000-000075000000}"/>
    <cellStyle name="60% - Ênfase1 2_ORÇAMENTO - FORUM DE V. GRANDE" xfId="119" xr:uid="{00000000-0005-0000-0000-000076000000}"/>
    <cellStyle name="60% - Ênfase1 3" xfId="120" xr:uid="{00000000-0005-0000-0000-000077000000}"/>
    <cellStyle name="60% - Ênfase1 4" xfId="121" xr:uid="{00000000-0005-0000-0000-000078000000}"/>
    <cellStyle name="60% - Ênfase1 5" xfId="122" xr:uid="{00000000-0005-0000-0000-000079000000}"/>
    <cellStyle name="60% - Ênfase1 6" xfId="123" xr:uid="{00000000-0005-0000-0000-00007A000000}"/>
    <cellStyle name="60% - Ênfase2 2" xfId="124" xr:uid="{00000000-0005-0000-0000-00007B000000}"/>
    <cellStyle name="60% - Ênfase2 2 2" xfId="125" xr:uid="{00000000-0005-0000-0000-00007C000000}"/>
    <cellStyle name="60% - Ênfase2 2 3" xfId="126" xr:uid="{00000000-0005-0000-0000-00007D000000}"/>
    <cellStyle name="60% - Ênfase2 2_ORÇAMENTO - FORUM DE V. GRANDE" xfId="127" xr:uid="{00000000-0005-0000-0000-00007E000000}"/>
    <cellStyle name="60% - Ênfase2 3" xfId="128" xr:uid="{00000000-0005-0000-0000-00007F000000}"/>
    <cellStyle name="60% - Ênfase2 4" xfId="129" xr:uid="{00000000-0005-0000-0000-000080000000}"/>
    <cellStyle name="60% - Ênfase2 5" xfId="130" xr:uid="{00000000-0005-0000-0000-000081000000}"/>
    <cellStyle name="60% - Ênfase2 6" xfId="131" xr:uid="{00000000-0005-0000-0000-000082000000}"/>
    <cellStyle name="60% - Ênfase3 2" xfId="132" xr:uid="{00000000-0005-0000-0000-000083000000}"/>
    <cellStyle name="60% - Ênfase3 2 2" xfId="133" xr:uid="{00000000-0005-0000-0000-000084000000}"/>
    <cellStyle name="60% - Ênfase3 2 3" xfId="134" xr:uid="{00000000-0005-0000-0000-000085000000}"/>
    <cellStyle name="60% - Ênfase3 2_ORÇAMENTO - FORUM DE V. GRANDE" xfId="135" xr:uid="{00000000-0005-0000-0000-000086000000}"/>
    <cellStyle name="60% - Ênfase3 3" xfId="136" xr:uid="{00000000-0005-0000-0000-000087000000}"/>
    <cellStyle name="60% - Ênfase3 4" xfId="137" xr:uid="{00000000-0005-0000-0000-000088000000}"/>
    <cellStyle name="60% - Ênfase3 5" xfId="138" xr:uid="{00000000-0005-0000-0000-000089000000}"/>
    <cellStyle name="60% - Ênfase3 6" xfId="139" xr:uid="{00000000-0005-0000-0000-00008A000000}"/>
    <cellStyle name="60% - Ênfase4 2" xfId="140" xr:uid="{00000000-0005-0000-0000-00008B000000}"/>
    <cellStyle name="60% - Ênfase4 2 2" xfId="141" xr:uid="{00000000-0005-0000-0000-00008C000000}"/>
    <cellStyle name="60% - Ênfase4 2 3" xfId="142" xr:uid="{00000000-0005-0000-0000-00008D000000}"/>
    <cellStyle name="60% - Ênfase4 2_ORÇAMENTO - FORUM DE V. GRANDE" xfId="143" xr:uid="{00000000-0005-0000-0000-00008E000000}"/>
    <cellStyle name="60% - Ênfase4 3" xfId="144" xr:uid="{00000000-0005-0000-0000-00008F000000}"/>
    <cellStyle name="60% - Ênfase4 4" xfId="145" xr:uid="{00000000-0005-0000-0000-000090000000}"/>
    <cellStyle name="60% - Ênfase4 5" xfId="146" xr:uid="{00000000-0005-0000-0000-000091000000}"/>
    <cellStyle name="60% - Ênfase4 6" xfId="147" xr:uid="{00000000-0005-0000-0000-000092000000}"/>
    <cellStyle name="60% - Ênfase5 2" xfId="148" xr:uid="{00000000-0005-0000-0000-000093000000}"/>
    <cellStyle name="60% - Ênfase5 2 2" xfId="149" xr:uid="{00000000-0005-0000-0000-000094000000}"/>
    <cellStyle name="60% - Ênfase5 2 3" xfId="150" xr:uid="{00000000-0005-0000-0000-000095000000}"/>
    <cellStyle name="60% - Ênfase5 2_ORÇAMENTO - FORUM DE V. GRANDE" xfId="151" xr:uid="{00000000-0005-0000-0000-000096000000}"/>
    <cellStyle name="60% - Ênfase5 3" xfId="152" xr:uid="{00000000-0005-0000-0000-000097000000}"/>
    <cellStyle name="60% - Ênfase5 4" xfId="153" xr:uid="{00000000-0005-0000-0000-000098000000}"/>
    <cellStyle name="60% - Ênfase5 5" xfId="154" xr:uid="{00000000-0005-0000-0000-000099000000}"/>
    <cellStyle name="60% - Ênfase5 6" xfId="155" xr:uid="{00000000-0005-0000-0000-00009A000000}"/>
    <cellStyle name="60% - Ênfase6 2" xfId="156" xr:uid="{00000000-0005-0000-0000-00009B000000}"/>
    <cellStyle name="60% - Ênfase6 2 2" xfId="157" xr:uid="{00000000-0005-0000-0000-00009C000000}"/>
    <cellStyle name="60% - Ênfase6 2 3" xfId="158" xr:uid="{00000000-0005-0000-0000-00009D000000}"/>
    <cellStyle name="60% - Ênfase6 2_ORÇAMENTO - FORUM DE V. GRANDE" xfId="159" xr:uid="{00000000-0005-0000-0000-00009E000000}"/>
    <cellStyle name="60% - Ênfase6 3" xfId="160" xr:uid="{00000000-0005-0000-0000-00009F000000}"/>
    <cellStyle name="60% - Ênfase6 4" xfId="161" xr:uid="{00000000-0005-0000-0000-0000A0000000}"/>
    <cellStyle name="60% - Ênfase6 5" xfId="162" xr:uid="{00000000-0005-0000-0000-0000A1000000}"/>
    <cellStyle name="60% - Ênfase6 6" xfId="163" xr:uid="{00000000-0005-0000-0000-0000A2000000}"/>
    <cellStyle name="Accent1" xfId="164" xr:uid="{00000000-0005-0000-0000-0000A3000000}"/>
    <cellStyle name="Accent2" xfId="165" xr:uid="{00000000-0005-0000-0000-0000A4000000}"/>
    <cellStyle name="Accent3" xfId="166" xr:uid="{00000000-0005-0000-0000-0000A5000000}"/>
    <cellStyle name="Accent4" xfId="167" xr:uid="{00000000-0005-0000-0000-0000A6000000}"/>
    <cellStyle name="Accent5" xfId="168" xr:uid="{00000000-0005-0000-0000-0000A7000000}"/>
    <cellStyle name="Accent6" xfId="169" xr:uid="{00000000-0005-0000-0000-0000A8000000}"/>
    <cellStyle name="Bad" xfId="170" xr:uid="{00000000-0005-0000-0000-0000A9000000}"/>
    <cellStyle name="Bom 2" xfId="171" xr:uid="{00000000-0005-0000-0000-0000AA000000}"/>
    <cellStyle name="Bom 2 2" xfId="172" xr:uid="{00000000-0005-0000-0000-0000AB000000}"/>
    <cellStyle name="Bom 2 3" xfId="173" xr:uid="{00000000-0005-0000-0000-0000AC000000}"/>
    <cellStyle name="Bom 2_ORÇAMENTO - FORUM DE V. GRANDE" xfId="174" xr:uid="{00000000-0005-0000-0000-0000AD000000}"/>
    <cellStyle name="Bom 3" xfId="175" xr:uid="{00000000-0005-0000-0000-0000AE000000}"/>
    <cellStyle name="Bom 4" xfId="176" xr:uid="{00000000-0005-0000-0000-0000AF000000}"/>
    <cellStyle name="Bom 5" xfId="177" xr:uid="{00000000-0005-0000-0000-0000B0000000}"/>
    <cellStyle name="Bom 6" xfId="178" xr:uid="{00000000-0005-0000-0000-0000B1000000}"/>
    <cellStyle name="Calculation" xfId="179" xr:uid="{00000000-0005-0000-0000-0000B2000000}"/>
    <cellStyle name="Cálculo 2" xfId="180" xr:uid="{00000000-0005-0000-0000-0000B3000000}"/>
    <cellStyle name="Cálculo 2 2" xfId="181" xr:uid="{00000000-0005-0000-0000-0000B4000000}"/>
    <cellStyle name="Cálculo 2 3" xfId="182" xr:uid="{00000000-0005-0000-0000-0000B5000000}"/>
    <cellStyle name="Cálculo 2_CIVIL- BL 1-2-3-4-5-6-7-8 " xfId="183" xr:uid="{00000000-0005-0000-0000-0000B6000000}"/>
    <cellStyle name="Cálculo 3" xfId="184" xr:uid="{00000000-0005-0000-0000-0000B7000000}"/>
    <cellStyle name="Cálculo 4" xfId="185" xr:uid="{00000000-0005-0000-0000-0000B8000000}"/>
    <cellStyle name="Cálculo 5" xfId="186" xr:uid="{00000000-0005-0000-0000-0000B9000000}"/>
    <cellStyle name="Cálculo 6" xfId="187" xr:uid="{00000000-0005-0000-0000-0000BA000000}"/>
    <cellStyle name="Cancel" xfId="188" xr:uid="{00000000-0005-0000-0000-0000BB000000}"/>
    <cellStyle name="Célula de Verificação 2" xfId="189" xr:uid="{00000000-0005-0000-0000-0000BC000000}"/>
    <cellStyle name="Célula de Verificação 2 2" xfId="190" xr:uid="{00000000-0005-0000-0000-0000BD000000}"/>
    <cellStyle name="Célula de Verificação 2 3" xfId="191" xr:uid="{00000000-0005-0000-0000-0000BE000000}"/>
    <cellStyle name="Célula de Verificação 2_CIVIL- BL 1-2-3-4-5-6-7-8 " xfId="192" xr:uid="{00000000-0005-0000-0000-0000BF000000}"/>
    <cellStyle name="Célula de Verificação 3" xfId="193" xr:uid="{00000000-0005-0000-0000-0000C0000000}"/>
    <cellStyle name="Célula de Verificação 4" xfId="194" xr:uid="{00000000-0005-0000-0000-0000C1000000}"/>
    <cellStyle name="Célula de Verificação 5" xfId="195" xr:uid="{00000000-0005-0000-0000-0000C2000000}"/>
    <cellStyle name="Célula de Verificação 6" xfId="196" xr:uid="{00000000-0005-0000-0000-0000C3000000}"/>
    <cellStyle name="Célula Vinculada 2" xfId="197" xr:uid="{00000000-0005-0000-0000-0000C4000000}"/>
    <cellStyle name="Célula Vinculada 2 2" xfId="198" xr:uid="{00000000-0005-0000-0000-0000C5000000}"/>
    <cellStyle name="Célula Vinculada 2 3" xfId="199" xr:uid="{00000000-0005-0000-0000-0000C6000000}"/>
    <cellStyle name="Célula Vinculada 2_CIVIL- BL 1-2-3-4-5-6-7-8 " xfId="200" xr:uid="{00000000-0005-0000-0000-0000C7000000}"/>
    <cellStyle name="Célula Vinculada 3" xfId="201" xr:uid="{00000000-0005-0000-0000-0000C8000000}"/>
    <cellStyle name="Célula Vinculada 4" xfId="202" xr:uid="{00000000-0005-0000-0000-0000C9000000}"/>
    <cellStyle name="Célula Vinculada 5" xfId="203" xr:uid="{00000000-0005-0000-0000-0000CA000000}"/>
    <cellStyle name="Célula Vinculada 6" xfId="204" xr:uid="{00000000-0005-0000-0000-0000CB000000}"/>
    <cellStyle name="Check Cell" xfId="205" xr:uid="{00000000-0005-0000-0000-0000CC000000}"/>
    <cellStyle name="Comma0" xfId="206" xr:uid="{00000000-0005-0000-0000-0000CD000000}"/>
    <cellStyle name="Currency0" xfId="207" xr:uid="{00000000-0005-0000-0000-0000CE000000}"/>
    <cellStyle name="Ênfase1 2" xfId="208" xr:uid="{00000000-0005-0000-0000-0000CF000000}"/>
    <cellStyle name="Ênfase1 2 2" xfId="209" xr:uid="{00000000-0005-0000-0000-0000D0000000}"/>
    <cellStyle name="Ênfase1 2 3" xfId="210" xr:uid="{00000000-0005-0000-0000-0000D1000000}"/>
    <cellStyle name="Ênfase1 2_ORÇAMENTO - FORUM DE V. GRANDE" xfId="211" xr:uid="{00000000-0005-0000-0000-0000D2000000}"/>
    <cellStyle name="Ênfase1 3" xfId="212" xr:uid="{00000000-0005-0000-0000-0000D3000000}"/>
    <cellStyle name="Ênfase1 4" xfId="213" xr:uid="{00000000-0005-0000-0000-0000D4000000}"/>
    <cellStyle name="Ênfase1 5" xfId="214" xr:uid="{00000000-0005-0000-0000-0000D5000000}"/>
    <cellStyle name="Ênfase1 6" xfId="215" xr:uid="{00000000-0005-0000-0000-0000D6000000}"/>
    <cellStyle name="Ênfase2 2" xfId="216" xr:uid="{00000000-0005-0000-0000-0000D7000000}"/>
    <cellStyle name="Ênfase2 2 2" xfId="217" xr:uid="{00000000-0005-0000-0000-0000D8000000}"/>
    <cellStyle name="Ênfase2 2 3" xfId="218" xr:uid="{00000000-0005-0000-0000-0000D9000000}"/>
    <cellStyle name="Ênfase2 2_ORÇAMENTO - FORUM DE V. GRANDE" xfId="219" xr:uid="{00000000-0005-0000-0000-0000DA000000}"/>
    <cellStyle name="Ênfase2 3" xfId="220" xr:uid="{00000000-0005-0000-0000-0000DB000000}"/>
    <cellStyle name="Ênfase2 4" xfId="221" xr:uid="{00000000-0005-0000-0000-0000DC000000}"/>
    <cellStyle name="Ênfase2 5" xfId="222" xr:uid="{00000000-0005-0000-0000-0000DD000000}"/>
    <cellStyle name="Ênfase2 6" xfId="223" xr:uid="{00000000-0005-0000-0000-0000DE000000}"/>
    <cellStyle name="Ênfase3 2" xfId="224" xr:uid="{00000000-0005-0000-0000-0000DF000000}"/>
    <cellStyle name="Ênfase3 2 2" xfId="225" xr:uid="{00000000-0005-0000-0000-0000E0000000}"/>
    <cellStyle name="Ênfase3 2 3" xfId="226" xr:uid="{00000000-0005-0000-0000-0000E1000000}"/>
    <cellStyle name="Ênfase3 2_ORÇAMENTO - FORUM DE V. GRANDE" xfId="227" xr:uid="{00000000-0005-0000-0000-0000E2000000}"/>
    <cellStyle name="Ênfase3 3" xfId="228" xr:uid="{00000000-0005-0000-0000-0000E3000000}"/>
    <cellStyle name="Ênfase3 4" xfId="229" xr:uid="{00000000-0005-0000-0000-0000E4000000}"/>
    <cellStyle name="Ênfase3 5" xfId="230" xr:uid="{00000000-0005-0000-0000-0000E5000000}"/>
    <cellStyle name="Ênfase3 6" xfId="231" xr:uid="{00000000-0005-0000-0000-0000E6000000}"/>
    <cellStyle name="Ênfase4 2" xfId="232" xr:uid="{00000000-0005-0000-0000-0000E7000000}"/>
    <cellStyle name="Ênfase4 2 2" xfId="233" xr:uid="{00000000-0005-0000-0000-0000E8000000}"/>
    <cellStyle name="Ênfase4 2 3" xfId="234" xr:uid="{00000000-0005-0000-0000-0000E9000000}"/>
    <cellStyle name="Ênfase4 2_ORÇAMENTO - FORUM DE V. GRANDE" xfId="235" xr:uid="{00000000-0005-0000-0000-0000EA000000}"/>
    <cellStyle name="Ênfase4 3" xfId="236" xr:uid="{00000000-0005-0000-0000-0000EB000000}"/>
    <cellStyle name="Ênfase4 4" xfId="237" xr:uid="{00000000-0005-0000-0000-0000EC000000}"/>
    <cellStyle name="Ênfase4 5" xfId="238" xr:uid="{00000000-0005-0000-0000-0000ED000000}"/>
    <cellStyle name="Ênfase4 6" xfId="239" xr:uid="{00000000-0005-0000-0000-0000EE000000}"/>
    <cellStyle name="Ênfase5 2" xfId="240" xr:uid="{00000000-0005-0000-0000-0000EF000000}"/>
    <cellStyle name="Ênfase5 2 2" xfId="241" xr:uid="{00000000-0005-0000-0000-0000F0000000}"/>
    <cellStyle name="Ênfase5 2 3" xfId="242" xr:uid="{00000000-0005-0000-0000-0000F1000000}"/>
    <cellStyle name="Ênfase5 2_ORÇAMENTO - FORUM DE V. GRANDE" xfId="243" xr:uid="{00000000-0005-0000-0000-0000F2000000}"/>
    <cellStyle name="Ênfase5 3" xfId="244" xr:uid="{00000000-0005-0000-0000-0000F3000000}"/>
    <cellStyle name="Ênfase5 4" xfId="245" xr:uid="{00000000-0005-0000-0000-0000F4000000}"/>
    <cellStyle name="Ênfase5 5" xfId="246" xr:uid="{00000000-0005-0000-0000-0000F5000000}"/>
    <cellStyle name="Ênfase5 6" xfId="247" xr:uid="{00000000-0005-0000-0000-0000F6000000}"/>
    <cellStyle name="Ênfase6 2" xfId="248" xr:uid="{00000000-0005-0000-0000-0000F7000000}"/>
    <cellStyle name="Ênfase6 2 2" xfId="249" xr:uid="{00000000-0005-0000-0000-0000F8000000}"/>
    <cellStyle name="Ênfase6 2 3" xfId="250" xr:uid="{00000000-0005-0000-0000-0000F9000000}"/>
    <cellStyle name="Ênfase6 2_ORÇAMENTO - FORUM DE V. GRANDE" xfId="251" xr:uid="{00000000-0005-0000-0000-0000FA000000}"/>
    <cellStyle name="Ênfase6 3" xfId="252" xr:uid="{00000000-0005-0000-0000-0000FB000000}"/>
    <cellStyle name="Ênfase6 4" xfId="253" xr:uid="{00000000-0005-0000-0000-0000FC000000}"/>
    <cellStyle name="Ênfase6 5" xfId="254" xr:uid="{00000000-0005-0000-0000-0000FD000000}"/>
    <cellStyle name="Ênfase6 6" xfId="255" xr:uid="{00000000-0005-0000-0000-0000FE000000}"/>
    <cellStyle name="Entrada 2" xfId="256" xr:uid="{00000000-0005-0000-0000-0000FF000000}"/>
    <cellStyle name="Entrada 2 2" xfId="257" xr:uid="{00000000-0005-0000-0000-000000010000}"/>
    <cellStyle name="Entrada 2 3" xfId="258" xr:uid="{00000000-0005-0000-0000-000001010000}"/>
    <cellStyle name="Entrada 2_CIVIL- BL 1-2-3-4-5-6-7-8 " xfId="259" xr:uid="{00000000-0005-0000-0000-000002010000}"/>
    <cellStyle name="Entrada 3" xfId="260" xr:uid="{00000000-0005-0000-0000-000003010000}"/>
    <cellStyle name="Entrada 4" xfId="261" xr:uid="{00000000-0005-0000-0000-000004010000}"/>
    <cellStyle name="Entrada 5" xfId="262" xr:uid="{00000000-0005-0000-0000-000005010000}"/>
    <cellStyle name="Entrada 6" xfId="263" xr:uid="{00000000-0005-0000-0000-000006010000}"/>
    <cellStyle name="Estilo 1" xfId="264" xr:uid="{00000000-0005-0000-0000-000007010000}"/>
    <cellStyle name="Euro" xfId="265" xr:uid="{00000000-0005-0000-0000-000008010000}"/>
    <cellStyle name="Euro 2" xfId="266" xr:uid="{00000000-0005-0000-0000-000009010000}"/>
    <cellStyle name="Euro 2 2" xfId="267" xr:uid="{00000000-0005-0000-0000-00000A010000}"/>
    <cellStyle name="Euro 3" xfId="268" xr:uid="{00000000-0005-0000-0000-00000B010000}"/>
    <cellStyle name="Excel Built-in Normal" xfId="269" xr:uid="{00000000-0005-0000-0000-00000C010000}"/>
    <cellStyle name="Excel Built-in Normal 1 1" xfId="270" xr:uid="{00000000-0005-0000-0000-00000D010000}"/>
    <cellStyle name="Excel Built-in Normal 10 3" xfId="271" xr:uid="{00000000-0005-0000-0000-00000E010000}"/>
    <cellStyle name="Excel Built-in Vírgula 6" xfId="272" xr:uid="{00000000-0005-0000-0000-00000F010000}"/>
    <cellStyle name="Explanatory Text" xfId="273" xr:uid="{00000000-0005-0000-0000-000010010000}"/>
    <cellStyle name="Good" xfId="274" xr:uid="{00000000-0005-0000-0000-000011010000}"/>
    <cellStyle name="Heading 1" xfId="275" xr:uid="{00000000-0005-0000-0000-000012010000}"/>
    <cellStyle name="Heading 2" xfId="276" xr:uid="{00000000-0005-0000-0000-000013010000}"/>
    <cellStyle name="Heading 3" xfId="277" xr:uid="{00000000-0005-0000-0000-000014010000}"/>
    <cellStyle name="Heading 4" xfId="278" xr:uid="{00000000-0005-0000-0000-000015010000}"/>
    <cellStyle name="Hiperlink 2" xfId="279" xr:uid="{00000000-0005-0000-0000-000016010000}"/>
    <cellStyle name="Hyperlink 2" xfId="280" xr:uid="{00000000-0005-0000-0000-000017010000}"/>
    <cellStyle name="Incorreto 2" xfId="281" xr:uid="{00000000-0005-0000-0000-000018010000}"/>
    <cellStyle name="Incorreto 2 2" xfId="282" xr:uid="{00000000-0005-0000-0000-000019010000}"/>
    <cellStyle name="Incorreto 2 3" xfId="283" xr:uid="{00000000-0005-0000-0000-00001A010000}"/>
    <cellStyle name="Incorreto 2_ORÇAMENTO - FORUM DE V. GRANDE" xfId="284" xr:uid="{00000000-0005-0000-0000-00001B010000}"/>
    <cellStyle name="Incorreto 3" xfId="285" xr:uid="{00000000-0005-0000-0000-00001C010000}"/>
    <cellStyle name="Incorreto 4" xfId="286" xr:uid="{00000000-0005-0000-0000-00001D010000}"/>
    <cellStyle name="Incorreto 5" xfId="287" xr:uid="{00000000-0005-0000-0000-00001E010000}"/>
    <cellStyle name="Incorreto 6" xfId="288" xr:uid="{00000000-0005-0000-0000-00001F010000}"/>
    <cellStyle name="Input" xfId="289" xr:uid="{00000000-0005-0000-0000-000020010000}"/>
    <cellStyle name="Linked Cell" xfId="290" xr:uid="{00000000-0005-0000-0000-000021010000}"/>
    <cellStyle name="Moeda" xfId="789" builtinId="4"/>
    <cellStyle name="Moeda 10" xfId="291" xr:uid="{00000000-0005-0000-0000-000022010000}"/>
    <cellStyle name="Moeda 2" xfId="292" xr:uid="{00000000-0005-0000-0000-000023010000}"/>
    <cellStyle name="Moeda 2 2" xfId="293" xr:uid="{00000000-0005-0000-0000-000024010000}"/>
    <cellStyle name="Moeda 2 3" xfId="294" xr:uid="{00000000-0005-0000-0000-000025010000}"/>
    <cellStyle name="Moeda 2_ORÇAMENTO - FORUM DE V. GRANDE" xfId="295" xr:uid="{00000000-0005-0000-0000-000026010000}"/>
    <cellStyle name="Moeda 24" xfId="296" xr:uid="{00000000-0005-0000-0000-000027010000}"/>
    <cellStyle name="Moeda 3" xfId="297" xr:uid="{00000000-0005-0000-0000-000028010000}"/>
    <cellStyle name="Moeda 4" xfId="298" xr:uid="{00000000-0005-0000-0000-000029010000}"/>
    <cellStyle name="Moeda 5" xfId="299" xr:uid="{00000000-0005-0000-0000-00002A010000}"/>
    <cellStyle name="Moeda 6" xfId="300" xr:uid="{00000000-0005-0000-0000-00002B010000}"/>
    <cellStyle name="Moeda 7" xfId="301" xr:uid="{00000000-0005-0000-0000-00002C010000}"/>
    <cellStyle name="Moeda 8" xfId="302" xr:uid="{00000000-0005-0000-0000-00002D010000}"/>
    <cellStyle name="Moeda 9" xfId="303" xr:uid="{00000000-0005-0000-0000-00002E010000}"/>
    <cellStyle name="Neutra 2" xfId="304" xr:uid="{00000000-0005-0000-0000-00002F010000}"/>
    <cellStyle name="Neutra 2 2" xfId="305" xr:uid="{00000000-0005-0000-0000-000030010000}"/>
    <cellStyle name="Neutra 2 3" xfId="306" xr:uid="{00000000-0005-0000-0000-000031010000}"/>
    <cellStyle name="Neutra 2_ORÇAMENTO - FORUM DE V. GRANDE" xfId="307" xr:uid="{00000000-0005-0000-0000-000032010000}"/>
    <cellStyle name="Neutra 3" xfId="308" xr:uid="{00000000-0005-0000-0000-000033010000}"/>
    <cellStyle name="Neutra 4" xfId="309" xr:uid="{00000000-0005-0000-0000-000034010000}"/>
    <cellStyle name="Neutra 5" xfId="310" xr:uid="{00000000-0005-0000-0000-000035010000}"/>
    <cellStyle name="Neutra 6" xfId="311" xr:uid="{00000000-0005-0000-0000-000036010000}"/>
    <cellStyle name="Neutral" xfId="312" xr:uid="{00000000-0005-0000-0000-000037010000}"/>
    <cellStyle name="Normal" xfId="0" builtinId="0"/>
    <cellStyle name="Normal 10" xfId="313" xr:uid="{00000000-0005-0000-0000-000039010000}"/>
    <cellStyle name="Normal 10 2" xfId="314" xr:uid="{00000000-0005-0000-0000-00003A010000}"/>
    <cellStyle name="Normal 10_Compo-Civil" xfId="315" xr:uid="{00000000-0005-0000-0000-00003B010000}"/>
    <cellStyle name="Normal 11" xfId="316" xr:uid="{00000000-0005-0000-0000-00003C010000}"/>
    <cellStyle name="Normal 11 2" xfId="317" xr:uid="{00000000-0005-0000-0000-00003D010000}"/>
    <cellStyle name="Normal 11_Compo-Civil" xfId="318" xr:uid="{00000000-0005-0000-0000-00003E010000}"/>
    <cellStyle name="Normal 12" xfId="319" xr:uid="{00000000-0005-0000-0000-00003F010000}"/>
    <cellStyle name="Normal 12 2" xfId="320" xr:uid="{00000000-0005-0000-0000-000040010000}"/>
    <cellStyle name="Normal 12_Compo-Civil" xfId="321" xr:uid="{00000000-0005-0000-0000-000041010000}"/>
    <cellStyle name="Normal 13" xfId="322" xr:uid="{00000000-0005-0000-0000-000042010000}"/>
    <cellStyle name="Normal 13 2" xfId="323" xr:uid="{00000000-0005-0000-0000-000043010000}"/>
    <cellStyle name="Normal 13 2 2" xfId="324" xr:uid="{00000000-0005-0000-0000-000044010000}"/>
    <cellStyle name="Normal 13 2 3" xfId="325" xr:uid="{00000000-0005-0000-0000-000045010000}"/>
    <cellStyle name="Normal 13 2_Compo-Civil" xfId="326" xr:uid="{00000000-0005-0000-0000-000046010000}"/>
    <cellStyle name="Normal 13 3" xfId="327" xr:uid="{00000000-0005-0000-0000-000047010000}"/>
    <cellStyle name="Normal 13 4" xfId="328" xr:uid="{00000000-0005-0000-0000-000048010000}"/>
    <cellStyle name="Normal 13_Compo-Civil" xfId="329" xr:uid="{00000000-0005-0000-0000-000049010000}"/>
    <cellStyle name="Normal 14" xfId="330" xr:uid="{00000000-0005-0000-0000-00004A010000}"/>
    <cellStyle name="Normal 14 2" xfId="331" xr:uid="{00000000-0005-0000-0000-00004B010000}"/>
    <cellStyle name="Normal 14_Compo-Civil" xfId="332" xr:uid="{00000000-0005-0000-0000-00004C010000}"/>
    <cellStyle name="Normal 15" xfId="333" xr:uid="{00000000-0005-0000-0000-00004D010000}"/>
    <cellStyle name="Normal 15 2" xfId="334" xr:uid="{00000000-0005-0000-0000-00004E010000}"/>
    <cellStyle name="Normal 15 2 2" xfId="335" xr:uid="{00000000-0005-0000-0000-00004F010000}"/>
    <cellStyle name="Normal 15 2 3" xfId="336" xr:uid="{00000000-0005-0000-0000-000050010000}"/>
    <cellStyle name="Normal 15 2_Compo-Civil" xfId="337" xr:uid="{00000000-0005-0000-0000-000051010000}"/>
    <cellStyle name="Normal 15 3" xfId="338" xr:uid="{00000000-0005-0000-0000-000052010000}"/>
    <cellStyle name="Normal 15 4" xfId="339" xr:uid="{00000000-0005-0000-0000-000053010000}"/>
    <cellStyle name="Normal 15_Compo-Civil" xfId="340" xr:uid="{00000000-0005-0000-0000-000054010000}"/>
    <cellStyle name="Normal 16" xfId="341" xr:uid="{00000000-0005-0000-0000-000055010000}"/>
    <cellStyle name="Normal 16 2" xfId="342" xr:uid="{00000000-0005-0000-0000-000056010000}"/>
    <cellStyle name="Normal 16 2 2" xfId="343" xr:uid="{00000000-0005-0000-0000-000057010000}"/>
    <cellStyle name="Normal 16 2 3" xfId="344" xr:uid="{00000000-0005-0000-0000-000058010000}"/>
    <cellStyle name="Normal 16 2_Compo-Civil" xfId="345" xr:uid="{00000000-0005-0000-0000-000059010000}"/>
    <cellStyle name="Normal 16 3" xfId="346" xr:uid="{00000000-0005-0000-0000-00005A010000}"/>
    <cellStyle name="Normal 16 4" xfId="347" xr:uid="{00000000-0005-0000-0000-00005B010000}"/>
    <cellStyle name="Normal 16_Compo-Civil" xfId="348" xr:uid="{00000000-0005-0000-0000-00005C010000}"/>
    <cellStyle name="Normal 17" xfId="349" xr:uid="{00000000-0005-0000-0000-00005D010000}"/>
    <cellStyle name="Normal 17 2" xfId="350" xr:uid="{00000000-0005-0000-0000-00005E010000}"/>
    <cellStyle name="Normal 17_Compo-Civil" xfId="351" xr:uid="{00000000-0005-0000-0000-00005F010000}"/>
    <cellStyle name="Normal 18" xfId="352" xr:uid="{00000000-0005-0000-0000-000060010000}"/>
    <cellStyle name="Normal 18 2" xfId="353" xr:uid="{00000000-0005-0000-0000-000061010000}"/>
    <cellStyle name="Normal 18_Compo-Civil" xfId="354" xr:uid="{00000000-0005-0000-0000-000062010000}"/>
    <cellStyle name="Normal 19" xfId="355" xr:uid="{00000000-0005-0000-0000-000063010000}"/>
    <cellStyle name="Normal 19 2" xfId="356" xr:uid="{00000000-0005-0000-0000-000064010000}"/>
    <cellStyle name="Normal 19_Compo-Civil" xfId="357" xr:uid="{00000000-0005-0000-0000-000065010000}"/>
    <cellStyle name="Normal 2" xfId="358" xr:uid="{00000000-0005-0000-0000-000066010000}"/>
    <cellStyle name="Normal 2 2" xfId="359" xr:uid="{00000000-0005-0000-0000-000067010000}"/>
    <cellStyle name="Normal 2 2 2" xfId="360" xr:uid="{00000000-0005-0000-0000-000068010000}"/>
    <cellStyle name="Normal 2 2 2 2" xfId="361" xr:uid="{00000000-0005-0000-0000-000069010000}"/>
    <cellStyle name="Normal 2 2 2_ORÇAMENTO - FORUM DE V. GRANDE" xfId="362" xr:uid="{00000000-0005-0000-0000-00006A010000}"/>
    <cellStyle name="Normal 2 2_Compo-Civil" xfId="363" xr:uid="{00000000-0005-0000-0000-00006B010000}"/>
    <cellStyle name="Normal 2 3" xfId="364" xr:uid="{00000000-0005-0000-0000-00006C010000}"/>
    <cellStyle name="Normal 2 4" xfId="365" xr:uid="{00000000-0005-0000-0000-00006D010000}"/>
    <cellStyle name="Normal 2 5" xfId="366" xr:uid="{00000000-0005-0000-0000-00006E010000}"/>
    <cellStyle name="Normal 2 6" xfId="790" xr:uid="{8CF0BACC-E1CC-4212-AC8A-355BB9B03C96}"/>
    <cellStyle name="Normal 20" xfId="367" xr:uid="{00000000-0005-0000-0000-00006F010000}"/>
    <cellStyle name="Normal 20 2" xfId="368" xr:uid="{00000000-0005-0000-0000-000070010000}"/>
    <cellStyle name="Normal 20_Compo-Civil" xfId="369" xr:uid="{00000000-0005-0000-0000-000071010000}"/>
    <cellStyle name="Normal 21" xfId="370" xr:uid="{00000000-0005-0000-0000-000072010000}"/>
    <cellStyle name="Normal 21 2" xfId="371" xr:uid="{00000000-0005-0000-0000-000073010000}"/>
    <cellStyle name="Normal 21 3" xfId="372" xr:uid="{00000000-0005-0000-0000-000074010000}"/>
    <cellStyle name="Normal 21 4" xfId="373" xr:uid="{00000000-0005-0000-0000-000075010000}"/>
    <cellStyle name="Normal 21_Compo-Civil" xfId="374" xr:uid="{00000000-0005-0000-0000-000076010000}"/>
    <cellStyle name="Normal 22" xfId="375" xr:uid="{00000000-0005-0000-0000-000077010000}"/>
    <cellStyle name="Normal 22 2" xfId="376" xr:uid="{00000000-0005-0000-0000-000078010000}"/>
    <cellStyle name="Normal 22_Compo-Civil" xfId="377" xr:uid="{00000000-0005-0000-0000-000079010000}"/>
    <cellStyle name="Normal 23" xfId="378" xr:uid="{00000000-0005-0000-0000-00007A010000}"/>
    <cellStyle name="Normal 23 2" xfId="379" xr:uid="{00000000-0005-0000-0000-00007B010000}"/>
    <cellStyle name="Normal 23_Compo-Civil" xfId="380" xr:uid="{00000000-0005-0000-0000-00007C010000}"/>
    <cellStyle name="Normal 24" xfId="381" xr:uid="{00000000-0005-0000-0000-00007D010000}"/>
    <cellStyle name="Normal 24 2" xfId="382" xr:uid="{00000000-0005-0000-0000-00007E010000}"/>
    <cellStyle name="Normal 24_Compo-Civil" xfId="383" xr:uid="{00000000-0005-0000-0000-00007F010000}"/>
    <cellStyle name="Normal 25" xfId="384" xr:uid="{00000000-0005-0000-0000-000080010000}"/>
    <cellStyle name="Normal 25 2" xfId="385" xr:uid="{00000000-0005-0000-0000-000081010000}"/>
    <cellStyle name="Normal 25_Compo-Civil" xfId="386" xr:uid="{00000000-0005-0000-0000-000082010000}"/>
    <cellStyle name="Normal 26" xfId="387" xr:uid="{00000000-0005-0000-0000-000083010000}"/>
    <cellStyle name="Normal 26 2" xfId="388" xr:uid="{00000000-0005-0000-0000-000084010000}"/>
    <cellStyle name="Normal 26_Compo-Civil" xfId="389" xr:uid="{00000000-0005-0000-0000-000085010000}"/>
    <cellStyle name="Normal 27" xfId="390" xr:uid="{00000000-0005-0000-0000-000086010000}"/>
    <cellStyle name="Normal 27 2" xfId="391" xr:uid="{00000000-0005-0000-0000-000087010000}"/>
    <cellStyle name="Normal 27_Compo-Civil" xfId="392" xr:uid="{00000000-0005-0000-0000-000088010000}"/>
    <cellStyle name="Normal 28" xfId="393" xr:uid="{00000000-0005-0000-0000-000089010000}"/>
    <cellStyle name="Normal 28 2" xfId="394" xr:uid="{00000000-0005-0000-0000-00008A010000}"/>
    <cellStyle name="Normal 28_Compo-Civil" xfId="395" xr:uid="{00000000-0005-0000-0000-00008B010000}"/>
    <cellStyle name="Normal 29" xfId="396" xr:uid="{00000000-0005-0000-0000-00008C010000}"/>
    <cellStyle name="Normal 3 2" xfId="397" xr:uid="{00000000-0005-0000-0000-00008D010000}"/>
    <cellStyle name="Normal 3 3" xfId="398" xr:uid="{00000000-0005-0000-0000-00008E010000}"/>
    <cellStyle name="Normal 3 4" xfId="399" xr:uid="{00000000-0005-0000-0000-00008F010000}"/>
    <cellStyle name="Normal 30" xfId="400" xr:uid="{00000000-0005-0000-0000-000090010000}"/>
    <cellStyle name="Normal 31" xfId="401" xr:uid="{00000000-0005-0000-0000-000091010000}"/>
    <cellStyle name="Normal 32" xfId="402" xr:uid="{00000000-0005-0000-0000-000092010000}"/>
    <cellStyle name="Normal 33" xfId="403" xr:uid="{00000000-0005-0000-0000-000093010000}"/>
    <cellStyle name="Normal 34" xfId="404" xr:uid="{00000000-0005-0000-0000-000094010000}"/>
    <cellStyle name="Normal 35" xfId="405" xr:uid="{00000000-0005-0000-0000-000095010000}"/>
    <cellStyle name="Normal 36" xfId="406" xr:uid="{00000000-0005-0000-0000-000096010000}"/>
    <cellStyle name="Normal 37" xfId="407" xr:uid="{00000000-0005-0000-0000-000097010000}"/>
    <cellStyle name="Normal 38" xfId="408" xr:uid="{00000000-0005-0000-0000-000098010000}"/>
    <cellStyle name="Normal 39" xfId="409" xr:uid="{00000000-0005-0000-0000-000099010000}"/>
    <cellStyle name="Normal 4 10" xfId="410" xr:uid="{00000000-0005-0000-0000-00009A010000}"/>
    <cellStyle name="Normal 4 2" xfId="411" xr:uid="{00000000-0005-0000-0000-00009B010000}"/>
    <cellStyle name="Normal 4 2 2" xfId="412" xr:uid="{00000000-0005-0000-0000-00009C010000}"/>
    <cellStyle name="Normal 4 2 3" xfId="413" xr:uid="{00000000-0005-0000-0000-00009D010000}"/>
    <cellStyle name="Normal 4 2_Compo-Civil" xfId="414" xr:uid="{00000000-0005-0000-0000-00009E010000}"/>
    <cellStyle name="Normal 4 3" xfId="415" xr:uid="{00000000-0005-0000-0000-00009F010000}"/>
    <cellStyle name="Normal 4 4" xfId="416" xr:uid="{00000000-0005-0000-0000-0000A0010000}"/>
    <cellStyle name="Normal 4 5" xfId="417" xr:uid="{00000000-0005-0000-0000-0000A1010000}"/>
    <cellStyle name="Normal 4 6" xfId="418" xr:uid="{00000000-0005-0000-0000-0000A2010000}"/>
    <cellStyle name="Normal 4 7" xfId="419" xr:uid="{00000000-0005-0000-0000-0000A3010000}"/>
    <cellStyle name="Normal 4 8" xfId="420" xr:uid="{00000000-0005-0000-0000-0000A4010000}"/>
    <cellStyle name="Normal 4 9" xfId="421" xr:uid="{00000000-0005-0000-0000-0000A5010000}"/>
    <cellStyle name="Normal 4_ORÇAMENTO" xfId="422" xr:uid="{00000000-0005-0000-0000-0000A6010000}"/>
    <cellStyle name="Normal 40" xfId="423" xr:uid="{00000000-0005-0000-0000-0000A7010000}"/>
    <cellStyle name="Normal 41" xfId="424" xr:uid="{00000000-0005-0000-0000-0000A8010000}"/>
    <cellStyle name="Normal 42" xfId="425" xr:uid="{00000000-0005-0000-0000-0000A9010000}"/>
    <cellStyle name="Normal 43" xfId="426" xr:uid="{00000000-0005-0000-0000-0000AA010000}"/>
    <cellStyle name="Normal 44" xfId="427" xr:uid="{00000000-0005-0000-0000-0000AB010000}"/>
    <cellStyle name="Normal 45" xfId="428" xr:uid="{00000000-0005-0000-0000-0000AC010000}"/>
    <cellStyle name="Normal 46" xfId="429" xr:uid="{00000000-0005-0000-0000-0000AD010000}"/>
    <cellStyle name="Normal 47" xfId="430" xr:uid="{00000000-0005-0000-0000-0000AE010000}"/>
    <cellStyle name="Normal 48" xfId="431" xr:uid="{00000000-0005-0000-0000-0000AF010000}"/>
    <cellStyle name="Normal 49" xfId="432" xr:uid="{00000000-0005-0000-0000-0000B0010000}"/>
    <cellStyle name="Normal 5" xfId="433" xr:uid="{00000000-0005-0000-0000-0000B1010000}"/>
    <cellStyle name="Normal 5 2" xfId="434" xr:uid="{00000000-0005-0000-0000-0000B2010000}"/>
    <cellStyle name="Normal 5 3" xfId="435" xr:uid="{00000000-0005-0000-0000-0000B3010000}"/>
    <cellStyle name="Normal 5 4" xfId="436" xr:uid="{00000000-0005-0000-0000-0000B4010000}"/>
    <cellStyle name="Normal 5_Compo-Civil" xfId="437" xr:uid="{00000000-0005-0000-0000-0000B5010000}"/>
    <cellStyle name="Normal 50" xfId="438" xr:uid="{00000000-0005-0000-0000-0000B6010000}"/>
    <cellStyle name="Normal 51" xfId="439" xr:uid="{00000000-0005-0000-0000-0000B7010000}"/>
    <cellStyle name="Normal 52" xfId="440" xr:uid="{00000000-0005-0000-0000-0000B8010000}"/>
    <cellStyle name="Normal 53" xfId="441" xr:uid="{00000000-0005-0000-0000-0000B9010000}"/>
    <cellStyle name="Normal 54" xfId="442" xr:uid="{00000000-0005-0000-0000-0000BA010000}"/>
    <cellStyle name="Normal 55" xfId="443" xr:uid="{00000000-0005-0000-0000-0000BB010000}"/>
    <cellStyle name="Normal 56" xfId="444" xr:uid="{00000000-0005-0000-0000-0000BC010000}"/>
    <cellStyle name="Normal 57" xfId="445" xr:uid="{00000000-0005-0000-0000-0000BD010000}"/>
    <cellStyle name="Normal 58" xfId="446" xr:uid="{00000000-0005-0000-0000-0000BE010000}"/>
    <cellStyle name="Normal 59" xfId="447" xr:uid="{00000000-0005-0000-0000-0000BF010000}"/>
    <cellStyle name="Normal 6" xfId="448" xr:uid="{00000000-0005-0000-0000-0000C0010000}"/>
    <cellStyle name="Normal 6 2" xfId="449" xr:uid="{00000000-0005-0000-0000-0000C1010000}"/>
    <cellStyle name="Normal 6_Compo-Civil" xfId="450" xr:uid="{00000000-0005-0000-0000-0000C2010000}"/>
    <cellStyle name="Normal 60" xfId="451" xr:uid="{00000000-0005-0000-0000-0000C3010000}"/>
    <cellStyle name="Normal 61" xfId="452" xr:uid="{00000000-0005-0000-0000-0000C4010000}"/>
    <cellStyle name="Normal 62" xfId="453" xr:uid="{00000000-0005-0000-0000-0000C5010000}"/>
    <cellStyle name="Normal 63" xfId="454" xr:uid="{00000000-0005-0000-0000-0000C6010000}"/>
    <cellStyle name="Normal 64" xfId="455" xr:uid="{00000000-0005-0000-0000-0000C7010000}"/>
    <cellStyle name="Normal 65" xfId="456" xr:uid="{00000000-0005-0000-0000-0000C8010000}"/>
    <cellStyle name="Normal 66" xfId="457" xr:uid="{00000000-0005-0000-0000-0000C9010000}"/>
    <cellStyle name="Normal 67" xfId="458" xr:uid="{00000000-0005-0000-0000-0000CA010000}"/>
    <cellStyle name="Normal 68" xfId="459" xr:uid="{00000000-0005-0000-0000-0000CB010000}"/>
    <cellStyle name="Normal 69" xfId="460" xr:uid="{00000000-0005-0000-0000-0000CC010000}"/>
    <cellStyle name="Normal 7" xfId="461" xr:uid="{00000000-0005-0000-0000-0000CD010000}"/>
    <cellStyle name="Normal 7 2" xfId="462" xr:uid="{00000000-0005-0000-0000-0000CE010000}"/>
    <cellStyle name="Normal 7_Compo-Civil" xfId="463" xr:uid="{00000000-0005-0000-0000-0000CF010000}"/>
    <cellStyle name="Normal 70" xfId="464" xr:uid="{00000000-0005-0000-0000-0000D0010000}"/>
    <cellStyle name="Normal 71" xfId="465" xr:uid="{00000000-0005-0000-0000-0000D1010000}"/>
    <cellStyle name="Normal 72" xfId="466" xr:uid="{00000000-0005-0000-0000-0000D2010000}"/>
    <cellStyle name="Normal 73" xfId="467" xr:uid="{00000000-0005-0000-0000-0000D3010000}"/>
    <cellStyle name="Normal 74" xfId="468" xr:uid="{00000000-0005-0000-0000-0000D4010000}"/>
    <cellStyle name="Normal 75" xfId="469" xr:uid="{00000000-0005-0000-0000-0000D5010000}"/>
    <cellStyle name="Normal 76" xfId="470" xr:uid="{00000000-0005-0000-0000-0000D6010000}"/>
    <cellStyle name="Normal 77" xfId="471" xr:uid="{00000000-0005-0000-0000-0000D7010000}"/>
    <cellStyle name="Normal 78" xfId="472" xr:uid="{00000000-0005-0000-0000-0000D8010000}"/>
    <cellStyle name="Normal 79" xfId="473" xr:uid="{00000000-0005-0000-0000-0000D9010000}"/>
    <cellStyle name="Normal 8" xfId="474" xr:uid="{00000000-0005-0000-0000-0000DA010000}"/>
    <cellStyle name="Normal 8 2" xfId="475" xr:uid="{00000000-0005-0000-0000-0000DB010000}"/>
    <cellStyle name="Normal 8 3" xfId="476" xr:uid="{00000000-0005-0000-0000-0000DC010000}"/>
    <cellStyle name="Normal 8 4" xfId="477" xr:uid="{00000000-0005-0000-0000-0000DD010000}"/>
    <cellStyle name="Normal 8_Compo-Civil" xfId="478" xr:uid="{00000000-0005-0000-0000-0000DE010000}"/>
    <cellStyle name="Normal 80" xfId="479" xr:uid="{00000000-0005-0000-0000-0000DF010000}"/>
    <cellStyle name="Normal 81" xfId="480" xr:uid="{00000000-0005-0000-0000-0000E0010000}"/>
    <cellStyle name="Normal 82" xfId="481" xr:uid="{00000000-0005-0000-0000-0000E1010000}"/>
    <cellStyle name="Normal 83" xfId="482" xr:uid="{00000000-0005-0000-0000-0000E2010000}"/>
    <cellStyle name="Normal 84" xfId="483" xr:uid="{00000000-0005-0000-0000-0000E3010000}"/>
    <cellStyle name="Normal 85" xfId="484" xr:uid="{00000000-0005-0000-0000-0000E4010000}"/>
    <cellStyle name="Normal 86" xfId="485" xr:uid="{00000000-0005-0000-0000-0000E5010000}"/>
    <cellStyle name="Normal 87" xfId="486" xr:uid="{00000000-0005-0000-0000-0000E6010000}"/>
    <cellStyle name="Normal 88" xfId="487" xr:uid="{00000000-0005-0000-0000-0000E7010000}"/>
    <cellStyle name="Normal 89" xfId="488" xr:uid="{00000000-0005-0000-0000-0000E8010000}"/>
    <cellStyle name="Normal 9" xfId="489" xr:uid="{00000000-0005-0000-0000-0000E9010000}"/>
    <cellStyle name="Normal 9 2" xfId="490" xr:uid="{00000000-0005-0000-0000-0000EA010000}"/>
    <cellStyle name="Normal 9_Compo-Civil" xfId="491" xr:uid="{00000000-0005-0000-0000-0000EB010000}"/>
    <cellStyle name="Normal 90" xfId="492" xr:uid="{00000000-0005-0000-0000-0000EC010000}"/>
    <cellStyle name="Normal 91" xfId="493" xr:uid="{00000000-0005-0000-0000-0000ED010000}"/>
    <cellStyle name="Normal_5ª Medição 199" xfId="494" xr:uid="{00000000-0005-0000-0000-0000EE010000}"/>
    <cellStyle name="Nota 10" xfId="495" xr:uid="{00000000-0005-0000-0000-0000EF010000}"/>
    <cellStyle name="Nota 10 2" xfId="496" xr:uid="{00000000-0005-0000-0000-0000F0010000}"/>
    <cellStyle name="Nota 11" xfId="497" xr:uid="{00000000-0005-0000-0000-0000F1010000}"/>
    <cellStyle name="Nota 11 2" xfId="498" xr:uid="{00000000-0005-0000-0000-0000F2010000}"/>
    <cellStyle name="Nota 12" xfId="499" xr:uid="{00000000-0005-0000-0000-0000F3010000}"/>
    <cellStyle name="Nota 12 2" xfId="500" xr:uid="{00000000-0005-0000-0000-0000F4010000}"/>
    <cellStyle name="Nota 13" xfId="501" xr:uid="{00000000-0005-0000-0000-0000F5010000}"/>
    <cellStyle name="Nota 13 2" xfId="502" xr:uid="{00000000-0005-0000-0000-0000F6010000}"/>
    <cellStyle name="Nota 14" xfId="503" xr:uid="{00000000-0005-0000-0000-0000F7010000}"/>
    <cellStyle name="Nota 14 2" xfId="504" xr:uid="{00000000-0005-0000-0000-0000F8010000}"/>
    <cellStyle name="Nota 15" xfId="505" xr:uid="{00000000-0005-0000-0000-0000F9010000}"/>
    <cellStyle name="Nota 15 2" xfId="506" xr:uid="{00000000-0005-0000-0000-0000FA010000}"/>
    <cellStyle name="Nota 16" xfId="507" xr:uid="{00000000-0005-0000-0000-0000FB010000}"/>
    <cellStyle name="Nota 16 2" xfId="508" xr:uid="{00000000-0005-0000-0000-0000FC010000}"/>
    <cellStyle name="Nota 17" xfId="509" xr:uid="{00000000-0005-0000-0000-0000FD010000}"/>
    <cellStyle name="Nota 17 2" xfId="510" xr:uid="{00000000-0005-0000-0000-0000FE010000}"/>
    <cellStyle name="Nota 18" xfId="511" xr:uid="{00000000-0005-0000-0000-0000FF010000}"/>
    <cellStyle name="Nota 18 2" xfId="512" xr:uid="{00000000-0005-0000-0000-000000020000}"/>
    <cellStyle name="Nota 19" xfId="513" xr:uid="{00000000-0005-0000-0000-000001020000}"/>
    <cellStyle name="Nota 19 2" xfId="514" xr:uid="{00000000-0005-0000-0000-000002020000}"/>
    <cellStyle name="Nota 2" xfId="515" xr:uid="{00000000-0005-0000-0000-000003020000}"/>
    <cellStyle name="Nota 2 2" xfId="516" xr:uid="{00000000-0005-0000-0000-000004020000}"/>
    <cellStyle name="Nota 2 3" xfId="517" xr:uid="{00000000-0005-0000-0000-000005020000}"/>
    <cellStyle name="Nota 2 4" xfId="518" xr:uid="{00000000-0005-0000-0000-000006020000}"/>
    <cellStyle name="Nota 2_CIVIL- BL 1-2-3-4-5-6-7-8 " xfId="519" xr:uid="{00000000-0005-0000-0000-000007020000}"/>
    <cellStyle name="Nota 20" xfId="520" xr:uid="{00000000-0005-0000-0000-000008020000}"/>
    <cellStyle name="Nota 20 2" xfId="521" xr:uid="{00000000-0005-0000-0000-000009020000}"/>
    <cellStyle name="Nota 21" xfId="522" xr:uid="{00000000-0005-0000-0000-00000A020000}"/>
    <cellStyle name="Nota 21 2" xfId="523" xr:uid="{00000000-0005-0000-0000-00000B020000}"/>
    <cellStyle name="Nota 22" xfId="524" xr:uid="{00000000-0005-0000-0000-00000C020000}"/>
    <cellStyle name="Nota 22 2" xfId="525" xr:uid="{00000000-0005-0000-0000-00000D020000}"/>
    <cellStyle name="Nota 23" xfId="526" xr:uid="{00000000-0005-0000-0000-00000E020000}"/>
    <cellStyle name="Nota 23 2" xfId="527" xr:uid="{00000000-0005-0000-0000-00000F020000}"/>
    <cellStyle name="Nota 24" xfId="528" xr:uid="{00000000-0005-0000-0000-000010020000}"/>
    <cellStyle name="Nota 24 2" xfId="529" xr:uid="{00000000-0005-0000-0000-000011020000}"/>
    <cellStyle name="Nota 25" xfId="530" xr:uid="{00000000-0005-0000-0000-000012020000}"/>
    <cellStyle name="Nota 25 2" xfId="531" xr:uid="{00000000-0005-0000-0000-000013020000}"/>
    <cellStyle name="Nota 26" xfId="532" xr:uid="{00000000-0005-0000-0000-000014020000}"/>
    <cellStyle name="Nota 26 2" xfId="533" xr:uid="{00000000-0005-0000-0000-000015020000}"/>
    <cellStyle name="Nota 27" xfId="534" xr:uid="{00000000-0005-0000-0000-000016020000}"/>
    <cellStyle name="Nota 27 2" xfId="535" xr:uid="{00000000-0005-0000-0000-000017020000}"/>
    <cellStyle name="Nota 28" xfId="536" xr:uid="{00000000-0005-0000-0000-000018020000}"/>
    <cellStyle name="Nota 28 2" xfId="537" xr:uid="{00000000-0005-0000-0000-000019020000}"/>
    <cellStyle name="Nota 29" xfId="538" xr:uid="{00000000-0005-0000-0000-00001A020000}"/>
    <cellStyle name="Nota 29 2" xfId="539" xr:uid="{00000000-0005-0000-0000-00001B020000}"/>
    <cellStyle name="Nota 3" xfId="540" xr:uid="{00000000-0005-0000-0000-00001C020000}"/>
    <cellStyle name="Nota 3 2" xfId="541" xr:uid="{00000000-0005-0000-0000-00001D020000}"/>
    <cellStyle name="Nota 30" xfId="542" xr:uid="{00000000-0005-0000-0000-00001E020000}"/>
    <cellStyle name="Nota 30 2" xfId="543" xr:uid="{00000000-0005-0000-0000-00001F020000}"/>
    <cellStyle name="Nota 31" xfId="544" xr:uid="{00000000-0005-0000-0000-000020020000}"/>
    <cellStyle name="Nota 31 2" xfId="545" xr:uid="{00000000-0005-0000-0000-000021020000}"/>
    <cellStyle name="Nota 32" xfId="546" xr:uid="{00000000-0005-0000-0000-000022020000}"/>
    <cellStyle name="Nota 32 2" xfId="547" xr:uid="{00000000-0005-0000-0000-000023020000}"/>
    <cellStyle name="Nota 33" xfId="548" xr:uid="{00000000-0005-0000-0000-000024020000}"/>
    <cellStyle name="Nota 33 2" xfId="549" xr:uid="{00000000-0005-0000-0000-000025020000}"/>
    <cellStyle name="Nota 34" xfId="550" xr:uid="{00000000-0005-0000-0000-000026020000}"/>
    <cellStyle name="Nota 34 2" xfId="551" xr:uid="{00000000-0005-0000-0000-000027020000}"/>
    <cellStyle name="Nota 35" xfId="552" xr:uid="{00000000-0005-0000-0000-000028020000}"/>
    <cellStyle name="Nota 35 2" xfId="553" xr:uid="{00000000-0005-0000-0000-000029020000}"/>
    <cellStyle name="Nota 36" xfId="554" xr:uid="{00000000-0005-0000-0000-00002A020000}"/>
    <cellStyle name="Nota 36 2" xfId="555" xr:uid="{00000000-0005-0000-0000-00002B020000}"/>
    <cellStyle name="Nota 37" xfId="556" xr:uid="{00000000-0005-0000-0000-00002C020000}"/>
    <cellStyle name="Nota 37 2" xfId="557" xr:uid="{00000000-0005-0000-0000-00002D020000}"/>
    <cellStyle name="Nota 38" xfId="558" xr:uid="{00000000-0005-0000-0000-00002E020000}"/>
    <cellStyle name="Nota 39" xfId="559" xr:uid="{00000000-0005-0000-0000-00002F020000}"/>
    <cellStyle name="Nota 4" xfId="560" xr:uid="{00000000-0005-0000-0000-000030020000}"/>
    <cellStyle name="Nota 4 2" xfId="561" xr:uid="{00000000-0005-0000-0000-000031020000}"/>
    <cellStyle name="Nota 5" xfId="562" xr:uid="{00000000-0005-0000-0000-000032020000}"/>
    <cellStyle name="Nota 5 2" xfId="563" xr:uid="{00000000-0005-0000-0000-000033020000}"/>
    <cellStyle name="Nota 6" xfId="564" xr:uid="{00000000-0005-0000-0000-000034020000}"/>
    <cellStyle name="Nota 6 2" xfId="565" xr:uid="{00000000-0005-0000-0000-000035020000}"/>
    <cellStyle name="Nota 7" xfId="566" xr:uid="{00000000-0005-0000-0000-000036020000}"/>
    <cellStyle name="Nota 7 2" xfId="567" xr:uid="{00000000-0005-0000-0000-000037020000}"/>
    <cellStyle name="Nota 8" xfId="568" xr:uid="{00000000-0005-0000-0000-000038020000}"/>
    <cellStyle name="Nota 8 2" xfId="569" xr:uid="{00000000-0005-0000-0000-000039020000}"/>
    <cellStyle name="Nota 9" xfId="570" xr:uid="{00000000-0005-0000-0000-00003A020000}"/>
    <cellStyle name="Nota 9 2" xfId="571" xr:uid="{00000000-0005-0000-0000-00003B020000}"/>
    <cellStyle name="Note" xfId="572" xr:uid="{00000000-0005-0000-0000-00003C020000}"/>
    <cellStyle name="Output" xfId="573" xr:uid="{00000000-0005-0000-0000-00003D020000}"/>
    <cellStyle name="planilhas" xfId="574" xr:uid="{00000000-0005-0000-0000-00003E020000}"/>
    <cellStyle name="Porcentagem" xfId="575" builtinId="5"/>
    <cellStyle name="Porcentagem 10" xfId="576" xr:uid="{00000000-0005-0000-0000-000040020000}"/>
    <cellStyle name="Porcentagem 10 2" xfId="577" xr:uid="{00000000-0005-0000-0000-000041020000}"/>
    <cellStyle name="Porcentagem 11" xfId="578" xr:uid="{00000000-0005-0000-0000-000042020000}"/>
    <cellStyle name="Porcentagem 12" xfId="579" xr:uid="{00000000-0005-0000-0000-000043020000}"/>
    <cellStyle name="Porcentagem 13" xfId="580" xr:uid="{00000000-0005-0000-0000-000044020000}"/>
    <cellStyle name="Porcentagem 14" xfId="581" xr:uid="{00000000-0005-0000-0000-000045020000}"/>
    <cellStyle name="Porcentagem 15" xfId="582" xr:uid="{00000000-0005-0000-0000-000046020000}"/>
    <cellStyle name="Porcentagem 16" xfId="583" xr:uid="{00000000-0005-0000-0000-000047020000}"/>
    <cellStyle name="Porcentagem 17" xfId="584" xr:uid="{00000000-0005-0000-0000-000048020000}"/>
    <cellStyle name="Porcentagem 18" xfId="585" xr:uid="{00000000-0005-0000-0000-000049020000}"/>
    <cellStyle name="Porcentagem 19" xfId="586" xr:uid="{00000000-0005-0000-0000-00004A020000}"/>
    <cellStyle name="Porcentagem 2" xfId="587" xr:uid="{00000000-0005-0000-0000-00004B020000}"/>
    <cellStyle name="Porcentagem 2 10" xfId="588" xr:uid="{00000000-0005-0000-0000-00004C020000}"/>
    <cellStyle name="Porcentagem 2 11" xfId="589" xr:uid="{00000000-0005-0000-0000-00004D020000}"/>
    <cellStyle name="Porcentagem 2 12" xfId="590" xr:uid="{00000000-0005-0000-0000-00004E020000}"/>
    <cellStyle name="Porcentagem 2 13" xfId="591" xr:uid="{00000000-0005-0000-0000-00004F020000}"/>
    <cellStyle name="Porcentagem 2 14" xfId="592" xr:uid="{00000000-0005-0000-0000-000050020000}"/>
    <cellStyle name="Porcentagem 2 15" xfId="593" xr:uid="{00000000-0005-0000-0000-000051020000}"/>
    <cellStyle name="Porcentagem 2 16" xfId="594" xr:uid="{00000000-0005-0000-0000-000052020000}"/>
    <cellStyle name="Porcentagem 2 17" xfId="595" xr:uid="{00000000-0005-0000-0000-000053020000}"/>
    <cellStyle name="Porcentagem 2 18" xfId="596" xr:uid="{00000000-0005-0000-0000-000054020000}"/>
    <cellStyle name="Porcentagem 2 19" xfId="597" xr:uid="{00000000-0005-0000-0000-000055020000}"/>
    <cellStyle name="Porcentagem 2 2" xfId="598" xr:uid="{00000000-0005-0000-0000-000056020000}"/>
    <cellStyle name="Porcentagem 2 2 2" xfId="599" xr:uid="{00000000-0005-0000-0000-000057020000}"/>
    <cellStyle name="Porcentagem 2 2 3" xfId="600" xr:uid="{00000000-0005-0000-0000-000058020000}"/>
    <cellStyle name="Porcentagem 2 20" xfId="601" xr:uid="{00000000-0005-0000-0000-000059020000}"/>
    <cellStyle name="Porcentagem 2 21" xfId="602" xr:uid="{00000000-0005-0000-0000-00005A020000}"/>
    <cellStyle name="Porcentagem 2 22" xfId="603" xr:uid="{00000000-0005-0000-0000-00005B020000}"/>
    <cellStyle name="Porcentagem 2 23" xfId="604" xr:uid="{00000000-0005-0000-0000-00005C020000}"/>
    <cellStyle name="Porcentagem 2 24" xfId="605" xr:uid="{00000000-0005-0000-0000-00005D020000}"/>
    <cellStyle name="Porcentagem 2 25" xfId="606" xr:uid="{00000000-0005-0000-0000-00005E020000}"/>
    <cellStyle name="Porcentagem 2 26" xfId="607" xr:uid="{00000000-0005-0000-0000-00005F020000}"/>
    <cellStyle name="Porcentagem 2 27" xfId="608" xr:uid="{00000000-0005-0000-0000-000060020000}"/>
    <cellStyle name="Porcentagem 2 28" xfId="609" xr:uid="{00000000-0005-0000-0000-000061020000}"/>
    <cellStyle name="Porcentagem 2 29" xfId="610" xr:uid="{00000000-0005-0000-0000-000062020000}"/>
    <cellStyle name="Porcentagem 2 3" xfId="611" xr:uid="{00000000-0005-0000-0000-000063020000}"/>
    <cellStyle name="Porcentagem 2 30" xfId="612" xr:uid="{00000000-0005-0000-0000-000064020000}"/>
    <cellStyle name="Porcentagem 2 4" xfId="613" xr:uid="{00000000-0005-0000-0000-000065020000}"/>
    <cellStyle name="Porcentagem 2 5" xfId="614" xr:uid="{00000000-0005-0000-0000-000066020000}"/>
    <cellStyle name="Porcentagem 2 6" xfId="615" xr:uid="{00000000-0005-0000-0000-000067020000}"/>
    <cellStyle name="Porcentagem 2 7" xfId="616" xr:uid="{00000000-0005-0000-0000-000068020000}"/>
    <cellStyle name="Porcentagem 2 8" xfId="617" xr:uid="{00000000-0005-0000-0000-000069020000}"/>
    <cellStyle name="Porcentagem 2 9" xfId="618" xr:uid="{00000000-0005-0000-0000-00006A020000}"/>
    <cellStyle name="Porcentagem 20" xfId="619" xr:uid="{00000000-0005-0000-0000-00006B020000}"/>
    <cellStyle name="Porcentagem 21" xfId="620" xr:uid="{00000000-0005-0000-0000-00006C020000}"/>
    <cellStyle name="Porcentagem 22" xfId="621" xr:uid="{00000000-0005-0000-0000-00006D020000}"/>
    <cellStyle name="Porcentagem 23" xfId="622" xr:uid="{00000000-0005-0000-0000-00006E020000}"/>
    <cellStyle name="Porcentagem 24" xfId="623" xr:uid="{00000000-0005-0000-0000-00006F020000}"/>
    <cellStyle name="Porcentagem 25" xfId="624" xr:uid="{00000000-0005-0000-0000-000070020000}"/>
    <cellStyle name="Porcentagem 26" xfId="625" xr:uid="{00000000-0005-0000-0000-000071020000}"/>
    <cellStyle name="Porcentagem 27" xfId="626" xr:uid="{00000000-0005-0000-0000-000072020000}"/>
    <cellStyle name="Porcentagem 28" xfId="627" xr:uid="{00000000-0005-0000-0000-000073020000}"/>
    <cellStyle name="Porcentagem 29" xfId="628" xr:uid="{00000000-0005-0000-0000-000074020000}"/>
    <cellStyle name="Porcentagem 3" xfId="629" xr:uid="{00000000-0005-0000-0000-000075020000}"/>
    <cellStyle name="Porcentagem 30" xfId="630" xr:uid="{00000000-0005-0000-0000-000076020000}"/>
    <cellStyle name="Porcentagem 31" xfId="631" xr:uid="{00000000-0005-0000-0000-000077020000}"/>
    <cellStyle name="Porcentagem 33" xfId="632" xr:uid="{00000000-0005-0000-0000-000078020000}"/>
    <cellStyle name="Porcentagem 4" xfId="633" xr:uid="{00000000-0005-0000-0000-000079020000}"/>
    <cellStyle name="Porcentagem 5" xfId="634" xr:uid="{00000000-0005-0000-0000-00007A020000}"/>
    <cellStyle name="Porcentagem 6" xfId="635" xr:uid="{00000000-0005-0000-0000-00007B020000}"/>
    <cellStyle name="Porcentagem 7" xfId="636" xr:uid="{00000000-0005-0000-0000-00007C020000}"/>
    <cellStyle name="Porcentagem 8" xfId="637" xr:uid="{00000000-0005-0000-0000-00007D020000}"/>
    <cellStyle name="Porcentagem 9" xfId="638" xr:uid="{00000000-0005-0000-0000-00007E020000}"/>
    <cellStyle name="Saída 2" xfId="639" xr:uid="{00000000-0005-0000-0000-00007F020000}"/>
    <cellStyle name="Saída 2 2" xfId="640" xr:uid="{00000000-0005-0000-0000-000080020000}"/>
    <cellStyle name="Saída 2 3" xfId="641" xr:uid="{00000000-0005-0000-0000-000081020000}"/>
    <cellStyle name="Saída 2_CIVIL- BL 1-2-3-4-5-6-7-8 " xfId="642" xr:uid="{00000000-0005-0000-0000-000082020000}"/>
    <cellStyle name="Saída 3" xfId="643" xr:uid="{00000000-0005-0000-0000-000083020000}"/>
    <cellStyle name="Saída 4" xfId="644" xr:uid="{00000000-0005-0000-0000-000084020000}"/>
    <cellStyle name="Saída 5" xfId="645" xr:uid="{00000000-0005-0000-0000-000085020000}"/>
    <cellStyle name="Saída 6" xfId="646" xr:uid="{00000000-0005-0000-0000-000086020000}"/>
    <cellStyle name="Separador de milhares 10" xfId="647" xr:uid="{00000000-0005-0000-0000-000087020000}"/>
    <cellStyle name="Separador de milhares 11" xfId="648" xr:uid="{00000000-0005-0000-0000-000088020000}"/>
    <cellStyle name="Separador de milhares 12" xfId="649" xr:uid="{00000000-0005-0000-0000-000089020000}"/>
    <cellStyle name="Separador de milhares 13" xfId="650" xr:uid="{00000000-0005-0000-0000-00008A020000}"/>
    <cellStyle name="Separador de milhares 14" xfId="651" xr:uid="{00000000-0005-0000-0000-00008B020000}"/>
    <cellStyle name="Separador de milhares 15" xfId="652" xr:uid="{00000000-0005-0000-0000-00008C020000}"/>
    <cellStyle name="Separador de milhares 16" xfId="653" xr:uid="{00000000-0005-0000-0000-00008D020000}"/>
    <cellStyle name="Separador de milhares 17" xfId="654" xr:uid="{00000000-0005-0000-0000-00008E020000}"/>
    <cellStyle name="Separador de milhares 18" xfId="655" xr:uid="{00000000-0005-0000-0000-00008F020000}"/>
    <cellStyle name="Separador de milhares 19" xfId="656" xr:uid="{00000000-0005-0000-0000-000090020000}"/>
    <cellStyle name="Separador de milhares 2 10" xfId="657" xr:uid="{00000000-0005-0000-0000-000091020000}"/>
    <cellStyle name="Separador de milhares 2 11" xfId="658" xr:uid="{00000000-0005-0000-0000-000092020000}"/>
    <cellStyle name="Separador de milhares 2 12" xfId="659" xr:uid="{00000000-0005-0000-0000-000093020000}"/>
    <cellStyle name="Separador de milhares 2 13" xfId="660" xr:uid="{00000000-0005-0000-0000-000094020000}"/>
    <cellStyle name="Separador de milhares 2 14" xfId="661" xr:uid="{00000000-0005-0000-0000-000095020000}"/>
    <cellStyle name="Separador de milhares 2 15" xfId="662" xr:uid="{00000000-0005-0000-0000-000096020000}"/>
    <cellStyle name="Separador de milhares 2 16" xfId="663" xr:uid="{00000000-0005-0000-0000-000097020000}"/>
    <cellStyle name="Separador de milhares 2 17" xfId="664" xr:uid="{00000000-0005-0000-0000-000098020000}"/>
    <cellStyle name="Separador de milhares 2 18" xfId="665" xr:uid="{00000000-0005-0000-0000-000099020000}"/>
    <cellStyle name="Separador de milhares 2 19" xfId="666" xr:uid="{00000000-0005-0000-0000-00009A020000}"/>
    <cellStyle name="Separador de milhares 2 2" xfId="667" xr:uid="{00000000-0005-0000-0000-00009B020000}"/>
    <cellStyle name="Separador de milhares 2 2 2" xfId="668" xr:uid="{00000000-0005-0000-0000-00009C020000}"/>
    <cellStyle name="Separador de milhares 2 20" xfId="669" xr:uid="{00000000-0005-0000-0000-00009D020000}"/>
    <cellStyle name="Separador de milhares 2 21" xfId="670" xr:uid="{00000000-0005-0000-0000-00009E020000}"/>
    <cellStyle name="Separador de milhares 2 22" xfId="671" xr:uid="{00000000-0005-0000-0000-00009F020000}"/>
    <cellStyle name="Separador de milhares 2 23" xfId="672" xr:uid="{00000000-0005-0000-0000-0000A0020000}"/>
    <cellStyle name="Separador de milhares 2 24" xfId="673" xr:uid="{00000000-0005-0000-0000-0000A1020000}"/>
    <cellStyle name="Separador de milhares 2 25" xfId="674" xr:uid="{00000000-0005-0000-0000-0000A2020000}"/>
    <cellStyle name="Separador de milhares 2 26" xfId="675" xr:uid="{00000000-0005-0000-0000-0000A3020000}"/>
    <cellStyle name="Separador de milhares 2 27" xfId="676" xr:uid="{00000000-0005-0000-0000-0000A4020000}"/>
    <cellStyle name="Separador de milhares 2 28" xfId="677" xr:uid="{00000000-0005-0000-0000-0000A5020000}"/>
    <cellStyle name="Separador de milhares 2 29" xfId="678" xr:uid="{00000000-0005-0000-0000-0000A6020000}"/>
    <cellStyle name="Separador de milhares 2 3" xfId="679" xr:uid="{00000000-0005-0000-0000-0000A7020000}"/>
    <cellStyle name="Separador de milhares 2 30" xfId="680" xr:uid="{00000000-0005-0000-0000-0000A8020000}"/>
    <cellStyle name="Separador de milhares 2 31" xfId="681" xr:uid="{00000000-0005-0000-0000-0000A9020000}"/>
    <cellStyle name="Separador de milhares 2 4" xfId="682" xr:uid="{00000000-0005-0000-0000-0000AA020000}"/>
    <cellStyle name="Separador de milhares 2 5" xfId="683" xr:uid="{00000000-0005-0000-0000-0000AB020000}"/>
    <cellStyle name="Separador de milhares 2 6" xfId="684" xr:uid="{00000000-0005-0000-0000-0000AC020000}"/>
    <cellStyle name="Separador de milhares 2 7" xfId="685" xr:uid="{00000000-0005-0000-0000-0000AD020000}"/>
    <cellStyle name="Separador de milhares 2 8" xfId="686" xr:uid="{00000000-0005-0000-0000-0000AE020000}"/>
    <cellStyle name="Separador de milhares 2 9" xfId="687" xr:uid="{00000000-0005-0000-0000-0000AF020000}"/>
    <cellStyle name="Separador de milhares 20" xfId="688" xr:uid="{00000000-0005-0000-0000-0000B0020000}"/>
    <cellStyle name="Separador de milhares 21" xfId="689" xr:uid="{00000000-0005-0000-0000-0000B1020000}"/>
    <cellStyle name="Separador de milhares 22" xfId="690" xr:uid="{00000000-0005-0000-0000-0000B2020000}"/>
    <cellStyle name="Separador de milhares 23" xfId="691" xr:uid="{00000000-0005-0000-0000-0000B3020000}"/>
    <cellStyle name="Separador de milhares 24" xfId="692" xr:uid="{00000000-0005-0000-0000-0000B4020000}"/>
    <cellStyle name="Separador de milhares 25" xfId="693" xr:uid="{00000000-0005-0000-0000-0000B5020000}"/>
    <cellStyle name="Separador de milhares 26" xfId="694" xr:uid="{00000000-0005-0000-0000-0000B6020000}"/>
    <cellStyle name="Separador de milhares 27" xfId="695" xr:uid="{00000000-0005-0000-0000-0000B7020000}"/>
    <cellStyle name="Separador de milhares 28" xfId="696" xr:uid="{00000000-0005-0000-0000-0000B8020000}"/>
    <cellStyle name="Separador de milhares 29" xfId="697" xr:uid="{00000000-0005-0000-0000-0000B9020000}"/>
    <cellStyle name="Separador de milhares 3 2" xfId="698" xr:uid="{00000000-0005-0000-0000-0000BA020000}"/>
    <cellStyle name="Separador de milhares 3 3" xfId="699" xr:uid="{00000000-0005-0000-0000-0000BB020000}"/>
    <cellStyle name="Separador de milhares 3 4" xfId="700" xr:uid="{00000000-0005-0000-0000-0000BC020000}"/>
    <cellStyle name="Separador de milhares 30" xfId="701" xr:uid="{00000000-0005-0000-0000-0000BD020000}"/>
    <cellStyle name="Separador de milhares 31" xfId="702" xr:uid="{00000000-0005-0000-0000-0000BE020000}"/>
    <cellStyle name="Separador de milhares 4" xfId="703" xr:uid="{00000000-0005-0000-0000-0000BF020000}"/>
    <cellStyle name="Separador de milhares 5" xfId="704" xr:uid="{00000000-0005-0000-0000-0000C0020000}"/>
    <cellStyle name="Separador de milhares 5 2" xfId="705" xr:uid="{00000000-0005-0000-0000-0000C1020000}"/>
    <cellStyle name="Separador de milhares 5 3" xfId="706" xr:uid="{00000000-0005-0000-0000-0000C2020000}"/>
    <cellStyle name="Separador de milhares 6" xfId="707" xr:uid="{00000000-0005-0000-0000-0000C3020000}"/>
    <cellStyle name="Separador de milhares 6 2" xfId="708" xr:uid="{00000000-0005-0000-0000-0000C4020000}"/>
    <cellStyle name="Separador de milhares 7" xfId="709" xr:uid="{00000000-0005-0000-0000-0000C5020000}"/>
    <cellStyle name="Separador de milhares 8" xfId="710" xr:uid="{00000000-0005-0000-0000-0000C6020000}"/>
    <cellStyle name="Separador de milhares 9" xfId="711" xr:uid="{00000000-0005-0000-0000-0000C7020000}"/>
    <cellStyle name="Texto de Aviso 2" xfId="712" xr:uid="{00000000-0005-0000-0000-0000C8020000}"/>
    <cellStyle name="Texto de Aviso 2 2" xfId="713" xr:uid="{00000000-0005-0000-0000-0000C9020000}"/>
    <cellStyle name="Texto de Aviso 2 3" xfId="714" xr:uid="{00000000-0005-0000-0000-0000CA020000}"/>
    <cellStyle name="Texto de Aviso 2_ORÇAMENTO - FORUM DE V. GRANDE" xfId="715" xr:uid="{00000000-0005-0000-0000-0000CB020000}"/>
    <cellStyle name="Texto de Aviso 3" xfId="716" xr:uid="{00000000-0005-0000-0000-0000CC020000}"/>
    <cellStyle name="Texto de Aviso 4" xfId="717" xr:uid="{00000000-0005-0000-0000-0000CD020000}"/>
    <cellStyle name="Texto de Aviso 5" xfId="718" xr:uid="{00000000-0005-0000-0000-0000CE020000}"/>
    <cellStyle name="Texto de Aviso 6" xfId="719" xr:uid="{00000000-0005-0000-0000-0000CF020000}"/>
    <cellStyle name="Texto Explicativo 2" xfId="720" xr:uid="{00000000-0005-0000-0000-0000D0020000}"/>
    <cellStyle name="Texto Explicativo 2 2" xfId="721" xr:uid="{00000000-0005-0000-0000-0000D1020000}"/>
    <cellStyle name="Texto Explicativo 2 3" xfId="722" xr:uid="{00000000-0005-0000-0000-0000D2020000}"/>
    <cellStyle name="Texto Explicativo 2_ORÇAMENTO - FORUM DE V. GRANDE" xfId="723" xr:uid="{00000000-0005-0000-0000-0000D3020000}"/>
    <cellStyle name="Texto Explicativo 3" xfId="724" xr:uid="{00000000-0005-0000-0000-0000D4020000}"/>
    <cellStyle name="Texto Explicativo 4" xfId="725" xr:uid="{00000000-0005-0000-0000-0000D5020000}"/>
    <cellStyle name="Texto Explicativo 5" xfId="726" xr:uid="{00000000-0005-0000-0000-0000D6020000}"/>
    <cellStyle name="Texto Explicativo 6" xfId="727" xr:uid="{00000000-0005-0000-0000-0000D7020000}"/>
    <cellStyle name="Title" xfId="728" xr:uid="{00000000-0005-0000-0000-0000D8020000}"/>
    <cellStyle name="Título 1 2" xfId="729" xr:uid="{00000000-0005-0000-0000-0000D9020000}"/>
    <cellStyle name="Título 1 2 2" xfId="730" xr:uid="{00000000-0005-0000-0000-0000DA020000}"/>
    <cellStyle name="Título 1 2 3" xfId="731" xr:uid="{00000000-0005-0000-0000-0000DB020000}"/>
    <cellStyle name="Título 1 2_CIVIL- BL 1-2-3-4-5-6-7-8 " xfId="732" xr:uid="{00000000-0005-0000-0000-0000DC020000}"/>
    <cellStyle name="Título 1 3" xfId="733" xr:uid="{00000000-0005-0000-0000-0000DD020000}"/>
    <cellStyle name="Título 1 4" xfId="734" xr:uid="{00000000-0005-0000-0000-0000DE020000}"/>
    <cellStyle name="Título 1 5" xfId="735" xr:uid="{00000000-0005-0000-0000-0000DF020000}"/>
    <cellStyle name="Título 1 6" xfId="736" xr:uid="{00000000-0005-0000-0000-0000E0020000}"/>
    <cellStyle name="Título 10" xfId="737" xr:uid="{00000000-0005-0000-0000-0000E1020000}"/>
    <cellStyle name="Título 2 2" xfId="738" xr:uid="{00000000-0005-0000-0000-0000E2020000}"/>
    <cellStyle name="Título 2 2 2" xfId="739" xr:uid="{00000000-0005-0000-0000-0000E3020000}"/>
    <cellStyle name="Título 2 2 3" xfId="740" xr:uid="{00000000-0005-0000-0000-0000E4020000}"/>
    <cellStyle name="Título 2 2_CIVIL- BL 1-2-3-4-5-6-7-8 " xfId="741" xr:uid="{00000000-0005-0000-0000-0000E5020000}"/>
    <cellStyle name="Título 2 3" xfId="742" xr:uid="{00000000-0005-0000-0000-0000E6020000}"/>
    <cellStyle name="Título 2 4" xfId="743" xr:uid="{00000000-0005-0000-0000-0000E7020000}"/>
    <cellStyle name="Título 2 5" xfId="744" xr:uid="{00000000-0005-0000-0000-0000E8020000}"/>
    <cellStyle name="Título 2 6" xfId="745" xr:uid="{00000000-0005-0000-0000-0000E9020000}"/>
    <cellStyle name="Título 3 2" xfId="746" xr:uid="{00000000-0005-0000-0000-0000EA020000}"/>
    <cellStyle name="Título 3 2 2" xfId="747" xr:uid="{00000000-0005-0000-0000-0000EB020000}"/>
    <cellStyle name="Título 3 2 3" xfId="748" xr:uid="{00000000-0005-0000-0000-0000EC020000}"/>
    <cellStyle name="Título 3 2_CIVIL- BL 1-2-3-4-5-6-7-8 " xfId="749" xr:uid="{00000000-0005-0000-0000-0000ED020000}"/>
    <cellStyle name="Título 3 3" xfId="750" xr:uid="{00000000-0005-0000-0000-0000EE020000}"/>
    <cellStyle name="Título 3 4" xfId="751" xr:uid="{00000000-0005-0000-0000-0000EF020000}"/>
    <cellStyle name="Título 3 5" xfId="752" xr:uid="{00000000-0005-0000-0000-0000F0020000}"/>
    <cellStyle name="Título 3 6" xfId="753" xr:uid="{00000000-0005-0000-0000-0000F1020000}"/>
    <cellStyle name="Título 4 2" xfId="754" xr:uid="{00000000-0005-0000-0000-0000F2020000}"/>
    <cellStyle name="Título 4 2 2" xfId="755" xr:uid="{00000000-0005-0000-0000-0000F3020000}"/>
    <cellStyle name="Título 4 2 3" xfId="756" xr:uid="{00000000-0005-0000-0000-0000F4020000}"/>
    <cellStyle name="Título 4 2_ORÇAMENTO - FORUM DE V. GRANDE" xfId="757" xr:uid="{00000000-0005-0000-0000-0000F5020000}"/>
    <cellStyle name="Título 4 3" xfId="758" xr:uid="{00000000-0005-0000-0000-0000F6020000}"/>
    <cellStyle name="Título 4 4" xfId="759" xr:uid="{00000000-0005-0000-0000-0000F7020000}"/>
    <cellStyle name="Título 4 5" xfId="760" xr:uid="{00000000-0005-0000-0000-0000F8020000}"/>
    <cellStyle name="Título 4 6" xfId="761" xr:uid="{00000000-0005-0000-0000-0000F9020000}"/>
    <cellStyle name="Título 5" xfId="762" xr:uid="{00000000-0005-0000-0000-0000FA020000}"/>
    <cellStyle name="Título 5 2" xfId="763" xr:uid="{00000000-0005-0000-0000-0000FB020000}"/>
    <cellStyle name="Título 5 3" xfId="764" xr:uid="{00000000-0005-0000-0000-0000FC020000}"/>
    <cellStyle name="Título 5_ORÇAMENTO - FORUM DE V. GRANDE" xfId="765" xr:uid="{00000000-0005-0000-0000-0000FD020000}"/>
    <cellStyle name="Título 6" xfId="766" xr:uid="{00000000-0005-0000-0000-0000FE020000}"/>
    <cellStyle name="Título 7" xfId="767" xr:uid="{00000000-0005-0000-0000-0000FF020000}"/>
    <cellStyle name="Título 8" xfId="768" xr:uid="{00000000-0005-0000-0000-000000030000}"/>
    <cellStyle name="Título 9" xfId="769" xr:uid="{00000000-0005-0000-0000-000001030000}"/>
    <cellStyle name="Total 2" xfId="770" xr:uid="{00000000-0005-0000-0000-000002030000}"/>
    <cellStyle name="Total 2 2" xfId="771" xr:uid="{00000000-0005-0000-0000-000003030000}"/>
    <cellStyle name="Total 2 3" xfId="772" xr:uid="{00000000-0005-0000-0000-000004030000}"/>
    <cellStyle name="Total 2_CIVIL- BL 1-2-3-4-5-6-7-8 " xfId="773" xr:uid="{00000000-0005-0000-0000-000005030000}"/>
    <cellStyle name="Total 3" xfId="774" xr:uid="{00000000-0005-0000-0000-000006030000}"/>
    <cellStyle name="Total 4" xfId="775" xr:uid="{00000000-0005-0000-0000-000007030000}"/>
    <cellStyle name="Total 5" xfId="776" xr:uid="{00000000-0005-0000-0000-000008030000}"/>
    <cellStyle name="Total 6" xfId="777" xr:uid="{00000000-0005-0000-0000-000009030000}"/>
    <cellStyle name="Total 7" xfId="778" xr:uid="{00000000-0005-0000-0000-00000A030000}"/>
    <cellStyle name="Vírgula" xfId="779" builtinId="3"/>
    <cellStyle name="Vírgula 2" xfId="780" xr:uid="{00000000-0005-0000-0000-00000C030000}"/>
    <cellStyle name="Vírgula 2 2" xfId="781" xr:uid="{00000000-0005-0000-0000-00000D030000}"/>
    <cellStyle name="Vírgula 2 3" xfId="782" xr:uid="{00000000-0005-0000-0000-00000E030000}"/>
    <cellStyle name="Vírgula 3" xfId="783" xr:uid="{00000000-0005-0000-0000-00000F030000}"/>
    <cellStyle name="Vírgula 3 2" xfId="784" xr:uid="{00000000-0005-0000-0000-000010030000}"/>
    <cellStyle name="Vírgula 4" xfId="785" xr:uid="{00000000-0005-0000-0000-000011030000}"/>
    <cellStyle name="Vírgula 4 2" xfId="786" xr:uid="{00000000-0005-0000-0000-000012030000}"/>
    <cellStyle name="Vírgula 5" xfId="787" xr:uid="{00000000-0005-0000-0000-000013030000}"/>
    <cellStyle name="Warning Text" xfId="788" xr:uid="{00000000-0005-0000-0000-00001403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DFF0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27</xdr:row>
      <xdr:rowOff>57150</xdr:rowOff>
    </xdr:from>
    <xdr:to>
      <xdr:col>5</xdr:col>
      <xdr:colOff>152400</xdr:colOff>
      <xdr:row>33</xdr:row>
      <xdr:rowOff>85725</xdr:rowOff>
    </xdr:to>
    <xdr:pic>
      <xdr:nvPicPr>
        <xdr:cNvPr id="1947" name="Picture 3">
          <a:extLst>
            <a:ext uri="{FF2B5EF4-FFF2-40B4-BE49-F238E27FC236}">
              <a16:creationId xmlns:a16="http://schemas.microsoft.com/office/drawing/2014/main" id="{B9C132E8-DBC6-5D3C-4718-04BCFE0179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538162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27</xdr:row>
      <xdr:rowOff>57150</xdr:rowOff>
    </xdr:from>
    <xdr:to>
      <xdr:col>5</xdr:col>
      <xdr:colOff>152400</xdr:colOff>
      <xdr:row>33</xdr:row>
      <xdr:rowOff>85725</xdr:rowOff>
    </xdr:to>
    <xdr:pic>
      <xdr:nvPicPr>
        <xdr:cNvPr id="16153" name="Picture 3">
          <a:extLst>
            <a:ext uri="{FF2B5EF4-FFF2-40B4-BE49-F238E27FC236}">
              <a16:creationId xmlns:a16="http://schemas.microsoft.com/office/drawing/2014/main" id="{05477E58-4662-4766-577D-BBED94AD1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5467350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29</xdr:row>
      <xdr:rowOff>76200</xdr:rowOff>
    </xdr:from>
    <xdr:to>
      <xdr:col>0</xdr:col>
      <xdr:colOff>495300</xdr:colOff>
      <xdr:row>29</xdr:row>
      <xdr:rowOff>590550</xdr:rowOff>
    </xdr:to>
    <xdr:pic>
      <xdr:nvPicPr>
        <xdr:cNvPr id="57745" name="Imagem 21" descr="Resultado de imagem para pare">
          <a:extLst>
            <a:ext uri="{FF2B5EF4-FFF2-40B4-BE49-F238E27FC236}">
              <a16:creationId xmlns:a16="http://schemas.microsoft.com/office/drawing/2014/main" id="{81BD02F9-5FA8-59CE-AFD7-1BE1FD212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1315402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30</xdr:row>
      <xdr:rowOff>95250</xdr:rowOff>
    </xdr:from>
    <xdr:to>
      <xdr:col>0</xdr:col>
      <xdr:colOff>628650</xdr:colOff>
      <xdr:row>30</xdr:row>
      <xdr:rowOff>542925</xdr:rowOff>
    </xdr:to>
    <xdr:pic>
      <xdr:nvPicPr>
        <xdr:cNvPr id="57746" name="Imagem 20" descr="Imagem relacionada">
          <a:extLst>
            <a:ext uri="{FF2B5EF4-FFF2-40B4-BE49-F238E27FC236}">
              <a16:creationId xmlns:a16="http://schemas.microsoft.com/office/drawing/2014/main" id="{C80807D5-7A77-6717-4842-66D823D23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1393507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29</xdr:row>
      <xdr:rowOff>76200</xdr:rowOff>
    </xdr:from>
    <xdr:to>
      <xdr:col>0</xdr:col>
      <xdr:colOff>495300</xdr:colOff>
      <xdr:row>29</xdr:row>
      <xdr:rowOff>590550</xdr:rowOff>
    </xdr:to>
    <xdr:pic>
      <xdr:nvPicPr>
        <xdr:cNvPr id="57747" name="Imagem 21" descr="Resultado de imagem para pare">
          <a:extLst>
            <a:ext uri="{FF2B5EF4-FFF2-40B4-BE49-F238E27FC236}">
              <a16:creationId xmlns:a16="http://schemas.microsoft.com/office/drawing/2014/main" id="{FB090503-F77C-835C-54ED-EC7439583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1315402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30</xdr:row>
      <xdr:rowOff>95250</xdr:rowOff>
    </xdr:from>
    <xdr:to>
      <xdr:col>0</xdr:col>
      <xdr:colOff>628650</xdr:colOff>
      <xdr:row>30</xdr:row>
      <xdr:rowOff>542925</xdr:rowOff>
    </xdr:to>
    <xdr:pic>
      <xdr:nvPicPr>
        <xdr:cNvPr id="57748" name="Imagem 36" descr="Imagem relacionada">
          <a:extLst>
            <a:ext uri="{FF2B5EF4-FFF2-40B4-BE49-F238E27FC236}">
              <a16:creationId xmlns:a16="http://schemas.microsoft.com/office/drawing/2014/main" id="{C9B06064-7BB0-0A65-603F-EA22DC4A1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1393507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29</xdr:row>
      <xdr:rowOff>76200</xdr:rowOff>
    </xdr:from>
    <xdr:to>
      <xdr:col>0</xdr:col>
      <xdr:colOff>495300</xdr:colOff>
      <xdr:row>29</xdr:row>
      <xdr:rowOff>590550</xdr:rowOff>
    </xdr:to>
    <xdr:pic>
      <xdr:nvPicPr>
        <xdr:cNvPr id="57749" name="Imagem 37" descr="Resultado de imagem para pare">
          <a:extLst>
            <a:ext uri="{FF2B5EF4-FFF2-40B4-BE49-F238E27FC236}">
              <a16:creationId xmlns:a16="http://schemas.microsoft.com/office/drawing/2014/main" id="{B74FD73B-5AE6-93D5-42A7-F652494841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1315402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30</xdr:row>
      <xdr:rowOff>95250</xdr:rowOff>
    </xdr:from>
    <xdr:to>
      <xdr:col>0</xdr:col>
      <xdr:colOff>628650</xdr:colOff>
      <xdr:row>30</xdr:row>
      <xdr:rowOff>542925</xdr:rowOff>
    </xdr:to>
    <xdr:pic>
      <xdr:nvPicPr>
        <xdr:cNvPr id="57750" name="Imagem 20" descr="Imagem relacionada">
          <a:extLst>
            <a:ext uri="{FF2B5EF4-FFF2-40B4-BE49-F238E27FC236}">
              <a16:creationId xmlns:a16="http://schemas.microsoft.com/office/drawing/2014/main" id="{97EF3764-7993-5AC6-7B88-66C4CF2DC6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1393507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29</xdr:row>
      <xdr:rowOff>76200</xdr:rowOff>
    </xdr:from>
    <xdr:to>
      <xdr:col>0</xdr:col>
      <xdr:colOff>495300</xdr:colOff>
      <xdr:row>29</xdr:row>
      <xdr:rowOff>590550</xdr:rowOff>
    </xdr:to>
    <xdr:pic>
      <xdr:nvPicPr>
        <xdr:cNvPr id="57751" name="Imagem 21" descr="Resultado de imagem para pare">
          <a:extLst>
            <a:ext uri="{FF2B5EF4-FFF2-40B4-BE49-F238E27FC236}">
              <a16:creationId xmlns:a16="http://schemas.microsoft.com/office/drawing/2014/main" id="{D2C9DA9E-FE51-BD70-5D66-660D70EF5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1315402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30</xdr:row>
      <xdr:rowOff>95250</xdr:rowOff>
    </xdr:from>
    <xdr:to>
      <xdr:col>0</xdr:col>
      <xdr:colOff>628650</xdr:colOff>
      <xdr:row>30</xdr:row>
      <xdr:rowOff>542925</xdr:rowOff>
    </xdr:to>
    <xdr:pic>
      <xdr:nvPicPr>
        <xdr:cNvPr id="57752" name="Imagem 40" descr="Imagem relacionada">
          <a:extLst>
            <a:ext uri="{FF2B5EF4-FFF2-40B4-BE49-F238E27FC236}">
              <a16:creationId xmlns:a16="http://schemas.microsoft.com/office/drawing/2014/main" id="{EA8719CE-54CF-FCC9-0FED-03E8DC848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1393507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476250</xdr:colOff>
      <xdr:row>5</xdr:row>
      <xdr:rowOff>76200</xdr:rowOff>
    </xdr:from>
    <xdr:to>
      <xdr:col>1</xdr:col>
      <xdr:colOff>971550</xdr:colOff>
      <xdr:row>5</xdr:row>
      <xdr:rowOff>590550</xdr:rowOff>
    </xdr:to>
    <xdr:pic>
      <xdr:nvPicPr>
        <xdr:cNvPr id="54" name="Imagem 21" descr="Resultado de imagem para pare">
          <a:extLst>
            <a:ext uri="{FF2B5EF4-FFF2-40B4-BE49-F238E27FC236}">
              <a16:creationId xmlns:a16="http://schemas.microsoft.com/office/drawing/2014/main" id="{22B85DAE-C574-41DC-8399-0BC6DF7DF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111442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419100</xdr:colOff>
      <xdr:row>6</xdr:row>
      <xdr:rowOff>95250</xdr:rowOff>
    </xdr:from>
    <xdr:to>
      <xdr:col>1</xdr:col>
      <xdr:colOff>1047750</xdr:colOff>
      <xdr:row>6</xdr:row>
      <xdr:rowOff>542925</xdr:rowOff>
    </xdr:to>
    <xdr:pic>
      <xdr:nvPicPr>
        <xdr:cNvPr id="55" name="Imagem 20" descr="Imagem relacionada">
          <a:extLst>
            <a:ext uri="{FF2B5EF4-FFF2-40B4-BE49-F238E27FC236}">
              <a16:creationId xmlns:a16="http://schemas.microsoft.com/office/drawing/2014/main" id="{076F7B0F-A327-4F8D-ADD4-F8673C3C3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189547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476250</xdr:colOff>
      <xdr:row>9</xdr:row>
      <xdr:rowOff>76200</xdr:rowOff>
    </xdr:from>
    <xdr:to>
      <xdr:col>1</xdr:col>
      <xdr:colOff>971550</xdr:colOff>
      <xdr:row>9</xdr:row>
      <xdr:rowOff>590550</xdr:rowOff>
    </xdr:to>
    <xdr:pic>
      <xdr:nvPicPr>
        <xdr:cNvPr id="56" name="Imagem 21" descr="Resultado de imagem para pare">
          <a:extLst>
            <a:ext uri="{FF2B5EF4-FFF2-40B4-BE49-F238E27FC236}">
              <a16:creationId xmlns:a16="http://schemas.microsoft.com/office/drawing/2014/main" id="{C52A83F0-68F8-4A59-A5CD-5016CB147C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311467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419100</xdr:colOff>
      <xdr:row>10</xdr:row>
      <xdr:rowOff>95250</xdr:rowOff>
    </xdr:from>
    <xdr:to>
      <xdr:col>1</xdr:col>
      <xdr:colOff>1047750</xdr:colOff>
      <xdr:row>10</xdr:row>
      <xdr:rowOff>542925</xdr:rowOff>
    </xdr:to>
    <xdr:pic>
      <xdr:nvPicPr>
        <xdr:cNvPr id="57" name="Imagem 20" descr="Imagem relacionada">
          <a:extLst>
            <a:ext uri="{FF2B5EF4-FFF2-40B4-BE49-F238E27FC236}">
              <a16:creationId xmlns:a16="http://schemas.microsoft.com/office/drawing/2014/main" id="{8B041E33-784A-4A2D-AF6F-E7F8C36FDB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389572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476250</xdr:colOff>
      <xdr:row>9</xdr:row>
      <xdr:rowOff>76200</xdr:rowOff>
    </xdr:from>
    <xdr:to>
      <xdr:col>1</xdr:col>
      <xdr:colOff>971550</xdr:colOff>
      <xdr:row>9</xdr:row>
      <xdr:rowOff>590550</xdr:rowOff>
    </xdr:to>
    <xdr:pic>
      <xdr:nvPicPr>
        <xdr:cNvPr id="58" name="Imagem 21" descr="Resultado de imagem para pare">
          <a:extLst>
            <a:ext uri="{FF2B5EF4-FFF2-40B4-BE49-F238E27FC236}">
              <a16:creationId xmlns:a16="http://schemas.microsoft.com/office/drawing/2014/main" id="{4408F098-6726-4EFF-BCF3-175328DB4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311467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419100</xdr:colOff>
      <xdr:row>10</xdr:row>
      <xdr:rowOff>95250</xdr:rowOff>
    </xdr:from>
    <xdr:to>
      <xdr:col>1</xdr:col>
      <xdr:colOff>1047750</xdr:colOff>
      <xdr:row>10</xdr:row>
      <xdr:rowOff>542925</xdr:rowOff>
    </xdr:to>
    <xdr:pic>
      <xdr:nvPicPr>
        <xdr:cNvPr id="59" name="Imagem 20" descr="Imagem relacionada">
          <a:extLst>
            <a:ext uri="{FF2B5EF4-FFF2-40B4-BE49-F238E27FC236}">
              <a16:creationId xmlns:a16="http://schemas.microsoft.com/office/drawing/2014/main" id="{EFF82EF8-1F83-45DC-AE7B-831CFBD57C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389572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476250</xdr:colOff>
      <xdr:row>13</xdr:row>
      <xdr:rowOff>76200</xdr:rowOff>
    </xdr:from>
    <xdr:to>
      <xdr:col>1</xdr:col>
      <xdr:colOff>971550</xdr:colOff>
      <xdr:row>13</xdr:row>
      <xdr:rowOff>590550</xdr:rowOff>
    </xdr:to>
    <xdr:pic>
      <xdr:nvPicPr>
        <xdr:cNvPr id="60" name="Imagem 21" descr="Resultado de imagem para pare">
          <a:extLst>
            <a:ext uri="{FF2B5EF4-FFF2-40B4-BE49-F238E27FC236}">
              <a16:creationId xmlns:a16="http://schemas.microsoft.com/office/drawing/2014/main" id="{79F95342-9F8C-4CE5-ACF4-8624C4A8F6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511492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419100</xdr:colOff>
      <xdr:row>14</xdr:row>
      <xdr:rowOff>95250</xdr:rowOff>
    </xdr:from>
    <xdr:to>
      <xdr:col>1</xdr:col>
      <xdr:colOff>1047750</xdr:colOff>
      <xdr:row>14</xdr:row>
      <xdr:rowOff>542925</xdr:rowOff>
    </xdr:to>
    <xdr:pic>
      <xdr:nvPicPr>
        <xdr:cNvPr id="61" name="Imagem 20" descr="Imagem relacionada">
          <a:extLst>
            <a:ext uri="{FF2B5EF4-FFF2-40B4-BE49-F238E27FC236}">
              <a16:creationId xmlns:a16="http://schemas.microsoft.com/office/drawing/2014/main" id="{401D45CB-0D74-418A-8560-984741C59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589597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476250</xdr:colOff>
      <xdr:row>13</xdr:row>
      <xdr:rowOff>76200</xdr:rowOff>
    </xdr:from>
    <xdr:to>
      <xdr:col>1</xdr:col>
      <xdr:colOff>971550</xdr:colOff>
      <xdr:row>13</xdr:row>
      <xdr:rowOff>590550</xdr:rowOff>
    </xdr:to>
    <xdr:pic>
      <xdr:nvPicPr>
        <xdr:cNvPr id="62" name="Imagem 21" descr="Resultado de imagem para pare">
          <a:extLst>
            <a:ext uri="{FF2B5EF4-FFF2-40B4-BE49-F238E27FC236}">
              <a16:creationId xmlns:a16="http://schemas.microsoft.com/office/drawing/2014/main" id="{05042EEB-0DE5-46F8-8C58-41D22A5826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511492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419100</xdr:colOff>
      <xdr:row>14</xdr:row>
      <xdr:rowOff>95250</xdr:rowOff>
    </xdr:from>
    <xdr:to>
      <xdr:col>1</xdr:col>
      <xdr:colOff>1047750</xdr:colOff>
      <xdr:row>14</xdr:row>
      <xdr:rowOff>542925</xdr:rowOff>
    </xdr:to>
    <xdr:pic>
      <xdr:nvPicPr>
        <xdr:cNvPr id="63" name="Imagem 28" descr="Imagem relacionada">
          <a:extLst>
            <a:ext uri="{FF2B5EF4-FFF2-40B4-BE49-F238E27FC236}">
              <a16:creationId xmlns:a16="http://schemas.microsoft.com/office/drawing/2014/main" id="{17BD4900-CCAF-47CC-9E37-8E3BF7989D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589597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476250</xdr:colOff>
      <xdr:row>13</xdr:row>
      <xdr:rowOff>76200</xdr:rowOff>
    </xdr:from>
    <xdr:to>
      <xdr:col>1</xdr:col>
      <xdr:colOff>971550</xdr:colOff>
      <xdr:row>13</xdr:row>
      <xdr:rowOff>590550</xdr:rowOff>
    </xdr:to>
    <xdr:pic>
      <xdr:nvPicPr>
        <xdr:cNvPr id="57664" name="Imagem 29" descr="Resultado de imagem para pare">
          <a:extLst>
            <a:ext uri="{FF2B5EF4-FFF2-40B4-BE49-F238E27FC236}">
              <a16:creationId xmlns:a16="http://schemas.microsoft.com/office/drawing/2014/main" id="{82A64D5B-BE72-44AC-BFC9-4A8CFBB45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511492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419100</xdr:colOff>
      <xdr:row>14</xdr:row>
      <xdr:rowOff>95250</xdr:rowOff>
    </xdr:from>
    <xdr:to>
      <xdr:col>1</xdr:col>
      <xdr:colOff>1047750</xdr:colOff>
      <xdr:row>14</xdr:row>
      <xdr:rowOff>542925</xdr:rowOff>
    </xdr:to>
    <xdr:pic>
      <xdr:nvPicPr>
        <xdr:cNvPr id="57665" name="Imagem 20" descr="Imagem relacionada">
          <a:extLst>
            <a:ext uri="{FF2B5EF4-FFF2-40B4-BE49-F238E27FC236}">
              <a16:creationId xmlns:a16="http://schemas.microsoft.com/office/drawing/2014/main" id="{ACD439AC-C8E2-4452-8176-B49C36F8D1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589597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476250</xdr:colOff>
      <xdr:row>13</xdr:row>
      <xdr:rowOff>76200</xdr:rowOff>
    </xdr:from>
    <xdr:to>
      <xdr:col>1</xdr:col>
      <xdr:colOff>971550</xdr:colOff>
      <xdr:row>13</xdr:row>
      <xdr:rowOff>590550</xdr:rowOff>
    </xdr:to>
    <xdr:pic>
      <xdr:nvPicPr>
        <xdr:cNvPr id="57666" name="Imagem 21" descr="Resultado de imagem para pare">
          <a:extLst>
            <a:ext uri="{FF2B5EF4-FFF2-40B4-BE49-F238E27FC236}">
              <a16:creationId xmlns:a16="http://schemas.microsoft.com/office/drawing/2014/main" id="{33D966D3-5ACC-4E8A-BD86-DCF4FC592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511492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419100</xdr:colOff>
      <xdr:row>14</xdr:row>
      <xdr:rowOff>95250</xdr:rowOff>
    </xdr:from>
    <xdr:to>
      <xdr:col>1</xdr:col>
      <xdr:colOff>1047750</xdr:colOff>
      <xdr:row>14</xdr:row>
      <xdr:rowOff>542925</xdr:rowOff>
    </xdr:to>
    <xdr:pic>
      <xdr:nvPicPr>
        <xdr:cNvPr id="57667" name="Imagem 32" descr="Imagem relacionada">
          <a:extLst>
            <a:ext uri="{FF2B5EF4-FFF2-40B4-BE49-F238E27FC236}">
              <a16:creationId xmlns:a16="http://schemas.microsoft.com/office/drawing/2014/main" id="{69FB2C69-80FB-4BC1-8F59-51DD9C9BD1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589597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476250</xdr:colOff>
      <xdr:row>17</xdr:row>
      <xdr:rowOff>76200</xdr:rowOff>
    </xdr:from>
    <xdr:to>
      <xdr:col>1</xdr:col>
      <xdr:colOff>971550</xdr:colOff>
      <xdr:row>17</xdr:row>
      <xdr:rowOff>590550</xdr:rowOff>
    </xdr:to>
    <xdr:pic>
      <xdr:nvPicPr>
        <xdr:cNvPr id="57668" name="Imagem 21" descr="Resultado de imagem para pare">
          <a:extLst>
            <a:ext uri="{FF2B5EF4-FFF2-40B4-BE49-F238E27FC236}">
              <a16:creationId xmlns:a16="http://schemas.microsoft.com/office/drawing/2014/main" id="{AB712D04-FC21-46B8-BF0C-3F413FABA4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711517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419100</xdr:colOff>
      <xdr:row>18</xdr:row>
      <xdr:rowOff>95250</xdr:rowOff>
    </xdr:from>
    <xdr:to>
      <xdr:col>1</xdr:col>
      <xdr:colOff>1047750</xdr:colOff>
      <xdr:row>18</xdr:row>
      <xdr:rowOff>542925</xdr:rowOff>
    </xdr:to>
    <xdr:pic>
      <xdr:nvPicPr>
        <xdr:cNvPr id="57669" name="Imagem 20" descr="Imagem relacionada">
          <a:extLst>
            <a:ext uri="{FF2B5EF4-FFF2-40B4-BE49-F238E27FC236}">
              <a16:creationId xmlns:a16="http://schemas.microsoft.com/office/drawing/2014/main" id="{9DF44961-CAE4-42CE-AF2E-B835FAD237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789622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476250</xdr:colOff>
      <xdr:row>17</xdr:row>
      <xdr:rowOff>76200</xdr:rowOff>
    </xdr:from>
    <xdr:to>
      <xdr:col>1</xdr:col>
      <xdr:colOff>971550</xdr:colOff>
      <xdr:row>17</xdr:row>
      <xdr:rowOff>590550</xdr:rowOff>
    </xdr:to>
    <xdr:pic>
      <xdr:nvPicPr>
        <xdr:cNvPr id="57670" name="Imagem 21" descr="Resultado de imagem para pare">
          <a:extLst>
            <a:ext uri="{FF2B5EF4-FFF2-40B4-BE49-F238E27FC236}">
              <a16:creationId xmlns:a16="http://schemas.microsoft.com/office/drawing/2014/main" id="{B802EEA7-C078-4B57-AD96-D5FBD240EB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711517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419100</xdr:colOff>
      <xdr:row>18</xdr:row>
      <xdr:rowOff>95250</xdr:rowOff>
    </xdr:from>
    <xdr:to>
      <xdr:col>1</xdr:col>
      <xdr:colOff>1047750</xdr:colOff>
      <xdr:row>18</xdr:row>
      <xdr:rowOff>542925</xdr:rowOff>
    </xdr:to>
    <xdr:pic>
      <xdr:nvPicPr>
        <xdr:cNvPr id="57671" name="Imagem 36" descr="Imagem relacionada">
          <a:extLst>
            <a:ext uri="{FF2B5EF4-FFF2-40B4-BE49-F238E27FC236}">
              <a16:creationId xmlns:a16="http://schemas.microsoft.com/office/drawing/2014/main" id="{002AC794-4D73-45F1-8029-E34A85C2C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789622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476250</xdr:colOff>
      <xdr:row>17</xdr:row>
      <xdr:rowOff>76200</xdr:rowOff>
    </xdr:from>
    <xdr:to>
      <xdr:col>1</xdr:col>
      <xdr:colOff>971550</xdr:colOff>
      <xdr:row>17</xdr:row>
      <xdr:rowOff>590550</xdr:rowOff>
    </xdr:to>
    <xdr:pic>
      <xdr:nvPicPr>
        <xdr:cNvPr id="57672" name="Imagem 37" descr="Resultado de imagem para pare">
          <a:extLst>
            <a:ext uri="{FF2B5EF4-FFF2-40B4-BE49-F238E27FC236}">
              <a16:creationId xmlns:a16="http://schemas.microsoft.com/office/drawing/2014/main" id="{D93F8A44-B000-4A6D-8312-16A6F4F77E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711517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419100</xdr:colOff>
      <xdr:row>18</xdr:row>
      <xdr:rowOff>95250</xdr:rowOff>
    </xdr:from>
    <xdr:to>
      <xdr:col>1</xdr:col>
      <xdr:colOff>1047750</xdr:colOff>
      <xdr:row>18</xdr:row>
      <xdr:rowOff>542925</xdr:rowOff>
    </xdr:to>
    <xdr:pic>
      <xdr:nvPicPr>
        <xdr:cNvPr id="57673" name="Imagem 20" descr="Imagem relacionada">
          <a:extLst>
            <a:ext uri="{FF2B5EF4-FFF2-40B4-BE49-F238E27FC236}">
              <a16:creationId xmlns:a16="http://schemas.microsoft.com/office/drawing/2014/main" id="{E6827559-6738-4696-B39A-7441254C2C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789622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476250</xdr:colOff>
      <xdr:row>17</xdr:row>
      <xdr:rowOff>76200</xdr:rowOff>
    </xdr:from>
    <xdr:to>
      <xdr:col>1</xdr:col>
      <xdr:colOff>971550</xdr:colOff>
      <xdr:row>17</xdr:row>
      <xdr:rowOff>590550</xdr:rowOff>
    </xdr:to>
    <xdr:pic>
      <xdr:nvPicPr>
        <xdr:cNvPr id="57674" name="Imagem 21" descr="Resultado de imagem para pare">
          <a:extLst>
            <a:ext uri="{FF2B5EF4-FFF2-40B4-BE49-F238E27FC236}">
              <a16:creationId xmlns:a16="http://schemas.microsoft.com/office/drawing/2014/main" id="{8D845897-B317-466B-BE49-3654149F6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711517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419100</xdr:colOff>
      <xdr:row>18</xdr:row>
      <xdr:rowOff>95250</xdr:rowOff>
    </xdr:from>
    <xdr:to>
      <xdr:col>1</xdr:col>
      <xdr:colOff>1047750</xdr:colOff>
      <xdr:row>18</xdr:row>
      <xdr:rowOff>542925</xdr:rowOff>
    </xdr:to>
    <xdr:pic>
      <xdr:nvPicPr>
        <xdr:cNvPr id="57675" name="Imagem 40" descr="Imagem relacionada">
          <a:extLst>
            <a:ext uri="{FF2B5EF4-FFF2-40B4-BE49-F238E27FC236}">
              <a16:creationId xmlns:a16="http://schemas.microsoft.com/office/drawing/2014/main" id="{EB3F9DC0-D6E8-46FF-9C07-D30F252151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789622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ngte\Downloads\GON&#199;ALO%20BOTELHO%20-%20MO27477006%20PLE1%20-%20TEZOLIN%20REV%2003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ao\d\A%20Meus%20documentos\A1%20V&#193;RZEA%20GRANDE%202018\JARDIM%20PAULA%20II\OR&#199;AMENTO\QUANTIDADE%20E%20OR&#199;AMENTO%20-%20JD%20PAULA%20II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Eventograma_e_Quantitativos"/>
      <sheetName val="Detalhamento"/>
      <sheetName val="Cronograma"/>
      <sheetName val="PLE"/>
      <sheetName val="Resumo_de_Acompanhamento"/>
      <sheetName val="CronoPrev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FF"/>
      <sheetName val="QUANT"/>
      <sheetName val="ORÇA "/>
      <sheetName val="TRANSP"/>
      <sheetName val="MEMORIAL DE CALCULO"/>
      <sheetName val="BLD"/>
      <sheetName val="TERRAP E PAVIM"/>
      <sheetName val="BDI"/>
      <sheetName val="BDI DIFERENCIADO"/>
      <sheetName val="DRENO"/>
      <sheetName val="SN HOR"/>
      <sheetName val="SN VERT"/>
      <sheetName val="LASTRO"/>
      <sheetName val="TAB REAJUSTAMENTO"/>
    </sheetNames>
    <sheetDataSet>
      <sheetData sheetId="0" refreshError="1">
        <row r="9">
          <cell r="B9" t="str">
            <v>SERVIÇOS PRELIMINARES</v>
          </cell>
        </row>
        <row r="44">
          <cell r="C44">
            <v>2275368.2999999998</v>
          </cell>
        </row>
      </sheetData>
      <sheetData sheetId="1" refreshError="1">
        <row r="42">
          <cell r="U42">
            <v>2275368.2999999993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C39"/>
  <sheetViews>
    <sheetView workbookViewId="0">
      <selection activeCell="B36" sqref="A1:C36"/>
    </sheetView>
  </sheetViews>
  <sheetFormatPr defaultRowHeight="18.75"/>
  <cols>
    <col min="1" max="1" width="19" style="253" customWidth="1"/>
    <col min="2" max="2" width="48.140625" style="253" customWidth="1"/>
    <col min="3" max="3" width="34.28515625" style="253" customWidth="1"/>
    <col min="4" max="4" width="9.140625" style="253"/>
    <col min="5" max="5" width="9.5703125" style="253" bestFit="1" customWidth="1"/>
    <col min="6" max="16384" width="9.140625" style="253"/>
  </cols>
  <sheetData>
    <row r="1" spans="1:3" ht="20.25" customHeight="1">
      <c r="A1" s="381" t="s">
        <v>80</v>
      </c>
      <c r="B1" s="382"/>
      <c r="C1" s="383"/>
    </row>
    <row r="2" spans="1:3" ht="12.75" customHeight="1">
      <c r="A2" s="384" t="s">
        <v>33</v>
      </c>
      <c r="B2" s="385"/>
      <c r="C2" s="386"/>
    </row>
    <row r="3" spans="1:3" ht="12.75" customHeight="1">
      <c r="A3" s="384"/>
      <c r="B3" s="385"/>
      <c r="C3" s="386"/>
    </row>
    <row r="4" spans="1:3" ht="20.100000000000001" customHeight="1">
      <c r="A4" s="388" t="s">
        <v>81</v>
      </c>
      <c r="B4" s="387" t="s">
        <v>82</v>
      </c>
      <c r="C4" s="254" t="s">
        <v>315</v>
      </c>
    </row>
    <row r="5" spans="1:3" ht="20.100000000000001" customHeight="1">
      <c r="A5" s="388"/>
      <c r="B5" s="387"/>
      <c r="C5" s="255" t="s">
        <v>284</v>
      </c>
    </row>
    <row r="6" spans="1:3" ht="20.100000000000001" customHeight="1">
      <c r="A6" s="388"/>
      <c r="B6" s="387"/>
      <c r="C6" s="255" t="s">
        <v>232</v>
      </c>
    </row>
    <row r="7" spans="1:3" ht="20.100000000000001" customHeight="1">
      <c r="A7" s="256" t="s">
        <v>16</v>
      </c>
      <c r="B7" s="257" t="s">
        <v>0</v>
      </c>
      <c r="C7" s="258" t="s">
        <v>34</v>
      </c>
    </row>
    <row r="8" spans="1:3" ht="12.75" customHeight="1">
      <c r="A8" s="389" t="str">
        <f>'ORÇA '!A8</f>
        <v>1.0</v>
      </c>
      <c r="B8" s="392" t="str">
        <f>'ORÇA '!D8</f>
        <v>ADMINISTRAÇÃO LOCAL</v>
      </c>
      <c r="C8" s="395">
        <f>'ORÇA '!J9</f>
        <v>26285.97</v>
      </c>
    </row>
    <row r="9" spans="1:3" ht="14.25" customHeight="1">
      <c r="A9" s="390"/>
      <c r="B9" s="393"/>
      <c r="C9" s="396"/>
    </row>
    <row r="10" spans="1:3">
      <c r="A10" s="391"/>
      <c r="B10" s="394"/>
      <c r="C10" s="397"/>
    </row>
    <row r="11" spans="1:3">
      <c r="A11" s="389" t="str">
        <f>'ORÇA '!A11</f>
        <v>2.0</v>
      </c>
      <c r="B11" s="392" t="str">
        <f>'ORÇA '!D11</f>
        <v>SERVIÇOS PRELIMINARES</v>
      </c>
      <c r="C11" s="395">
        <f>'ORÇA '!J15</f>
        <v>45923.479999999996</v>
      </c>
    </row>
    <row r="12" spans="1:3">
      <c r="A12" s="390"/>
      <c r="B12" s="393"/>
      <c r="C12" s="396"/>
    </row>
    <row r="13" spans="1:3">
      <c r="A13" s="391"/>
      <c r="B13" s="394"/>
      <c r="C13" s="397"/>
    </row>
    <row r="14" spans="1:3">
      <c r="A14" s="389" t="str">
        <f>'ORÇA '!A17</f>
        <v>3.0</v>
      </c>
      <c r="B14" s="412" t="str">
        <f>'ORÇA '!D17</f>
        <v>ENSAIOS TECNOLÓGICOS DE SOLO E ASFALTO</v>
      </c>
      <c r="C14" s="415">
        <f>'ORÇA '!J21</f>
        <v>12121.119999999999</v>
      </c>
    </row>
    <row r="15" spans="1:3">
      <c r="A15" s="390"/>
      <c r="B15" s="413"/>
      <c r="C15" s="416"/>
    </row>
    <row r="16" spans="1:3">
      <c r="A16" s="391"/>
      <c r="B16" s="414"/>
      <c r="C16" s="417"/>
    </row>
    <row r="17" spans="1:3" ht="12.75" customHeight="1">
      <c r="A17" s="389" t="str">
        <f>'ORÇA '!A23</f>
        <v>4.0</v>
      </c>
      <c r="B17" s="392" t="str">
        <f>'ORÇA '!D23</f>
        <v>TERRAPLENAGEM</v>
      </c>
      <c r="C17" s="395">
        <f>'ORÇA '!J30</f>
        <v>23463.489999999998</v>
      </c>
    </row>
    <row r="18" spans="1:3">
      <c r="A18" s="390"/>
      <c r="B18" s="393"/>
      <c r="C18" s="396"/>
    </row>
    <row r="19" spans="1:3">
      <c r="A19" s="391"/>
      <c r="B19" s="394"/>
      <c r="C19" s="397"/>
    </row>
    <row r="20" spans="1:3" ht="12.75" customHeight="1">
      <c r="A20" s="389" t="str">
        <f>'ORÇA '!A32</f>
        <v>5.0</v>
      </c>
      <c r="B20" s="392" t="str">
        <f>'ORÇA '!D32</f>
        <v>PAVIMENTAÇÃO</v>
      </c>
      <c r="C20" s="395">
        <f>'ORÇA '!J43</f>
        <v>579327.78</v>
      </c>
    </row>
    <row r="21" spans="1:3">
      <c r="A21" s="390"/>
      <c r="B21" s="393"/>
      <c r="C21" s="396"/>
    </row>
    <row r="22" spans="1:3" ht="12.75" customHeight="1">
      <c r="A22" s="391"/>
      <c r="B22" s="394"/>
      <c r="C22" s="397"/>
    </row>
    <row r="23" spans="1:3" ht="12.75" customHeight="1">
      <c r="A23" s="389" t="str">
        <f>'ORÇA '!A45</f>
        <v>6.0</v>
      </c>
      <c r="B23" s="392" t="str">
        <f>'ORÇA '!D45</f>
        <v>SINALIZAÇÃO HORIZONTAL/VERTICAL</v>
      </c>
      <c r="C23" s="395">
        <f>'ORÇA '!J49</f>
        <v>12077.36</v>
      </c>
    </row>
    <row r="24" spans="1:3">
      <c r="A24" s="390"/>
      <c r="B24" s="393"/>
      <c r="C24" s="396"/>
    </row>
    <row r="25" spans="1:3" ht="12.75" customHeight="1">
      <c r="A25" s="391"/>
      <c r="B25" s="394"/>
      <c r="C25" s="397"/>
    </row>
    <row r="26" spans="1:3" ht="12.75" customHeight="1">
      <c r="A26" s="389" t="str">
        <f>'ORÇA '!A51</f>
        <v>7.0</v>
      </c>
      <c r="B26" s="259"/>
      <c r="C26" s="415">
        <f>'ORÇA '!J56</f>
        <v>767721.43</v>
      </c>
    </row>
    <row r="27" spans="1:3" ht="12.75" customHeight="1">
      <c r="A27" s="390"/>
      <c r="B27" s="259" t="str">
        <f>'ORÇA '!D51</f>
        <v>OBRAS COMPLEMENTARES</v>
      </c>
      <c r="C27" s="416"/>
    </row>
    <row r="28" spans="1:3" ht="12.75" customHeight="1">
      <c r="A28" s="390"/>
      <c r="B28" s="259"/>
      <c r="C28" s="417"/>
    </row>
    <row r="29" spans="1:3">
      <c r="A29" s="400" t="s">
        <v>36</v>
      </c>
      <c r="B29" s="401"/>
      <c r="C29" s="279"/>
    </row>
    <row r="30" spans="1:3">
      <c r="A30" s="402"/>
      <c r="B30" s="403"/>
      <c r="C30" s="281">
        <f>SUM(C8:C28)</f>
        <v>1466920.6300000001</v>
      </c>
    </row>
    <row r="31" spans="1:3">
      <c r="A31" s="404"/>
      <c r="B31" s="405"/>
      <c r="C31" s="280"/>
    </row>
    <row r="32" spans="1:3">
      <c r="A32" s="406" t="s">
        <v>240</v>
      </c>
      <c r="B32" s="407"/>
      <c r="C32" s="260">
        <f>'TERRAP E PAVIM'!H16/1000</f>
        <v>0.96479399999999993</v>
      </c>
    </row>
    <row r="33" spans="1:3">
      <c r="A33" s="261" t="s">
        <v>240</v>
      </c>
      <c r="B33" s="262"/>
      <c r="C33" s="263">
        <f>C30/C32</f>
        <v>1520449.5778373417</v>
      </c>
    </row>
    <row r="34" spans="1:3" ht="15.75" customHeight="1">
      <c r="A34" s="359" t="s">
        <v>241</v>
      </c>
      <c r="B34" s="410" t="s">
        <v>267</v>
      </c>
      <c r="C34" s="411"/>
    </row>
    <row r="35" spans="1:3" ht="28.5" customHeight="1">
      <c r="A35" s="264" t="s">
        <v>216</v>
      </c>
      <c r="B35" s="408" t="s">
        <v>286</v>
      </c>
      <c r="C35" s="409"/>
    </row>
    <row r="36" spans="1:3" ht="19.5" thickBot="1">
      <c r="A36" s="360" t="s">
        <v>41</v>
      </c>
      <c r="B36" s="398" t="s">
        <v>266</v>
      </c>
      <c r="C36" s="399"/>
    </row>
    <row r="38" spans="1:3">
      <c r="A38" s="265"/>
    </row>
    <row r="39" spans="1:3">
      <c r="A39" s="265"/>
    </row>
  </sheetData>
  <mergeCells count="29">
    <mergeCell ref="C14:C16"/>
    <mergeCell ref="C26:C28"/>
    <mergeCell ref="C23:C25"/>
    <mergeCell ref="C20:C22"/>
    <mergeCell ref="C17:C19"/>
    <mergeCell ref="B17:B19"/>
    <mergeCell ref="A20:A22"/>
    <mergeCell ref="A14:A16"/>
    <mergeCell ref="B14:B16"/>
    <mergeCell ref="A26:A28"/>
    <mergeCell ref="B20:B22"/>
    <mergeCell ref="A17:A19"/>
    <mergeCell ref="A23:A25"/>
    <mergeCell ref="B23:B25"/>
    <mergeCell ref="B36:C36"/>
    <mergeCell ref="A29:B31"/>
    <mergeCell ref="A32:B32"/>
    <mergeCell ref="B35:C35"/>
    <mergeCell ref="B34:C34"/>
    <mergeCell ref="A1:C1"/>
    <mergeCell ref="A2:C3"/>
    <mergeCell ref="B4:B6"/>
    <mergeCell ref="A4:A6"/>
    <mergeCell ref="A11:A13"/>
    <mergeCell ref="A8:A10"/>
    <mergeCell ref="B8:B10"/>
    <mergeCell ref="C8:C10"/>
    <mergeCell ref="C11:C13"/>
    <mergeCell ref="B11:B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110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6"/>
  <sheetViews>
    <sheetView zoomScale="120" zoomScaleNormal="120" workbookViewId="0">
      <selection activeCell="C24" sqref="C24"/>
    </sheetView>
  </sheetViews>
  <sheetFormatPr defaultRowHeight="12.75"/>
  <cols>
    <col min="1" max="1" width="13.7109375" customWidth="1"/>
    <col min="2" max="2" width="16.85546875" customWidth="1"/>
    <col min="3" max="3" width="14.85546875" bestFit="1" customWidth="1"/>
    <col min="4" max="4" width="11.140625" bestFit="1" customWidth="1"/>
    <col min="5" max="5" width="5.85546875" bestFit="1" customWidth="1"/>
    <col min="6" max="6" width="16.42578125" bestFit="1" customWidth="1"/>
    <col min="7" max="7" width="18.5703125" customWidth="1"/>
    <col min="17" max="17" width="13.7109375" customWidth="1"/>
    <col min="18" max="18" width="15.5703125" customWidth="1"/>
    <col min="19" max="19" width="14.42578125" bestFit="1" customWidth="1"/>
    <col min="20" max="20" width="10.85546875" bestFit="1" customWidth="1"/>
    <col min="21" max="21" width="10.42578125" customWidth="1"/>
    <col min="22" max="22" width="16.140625" bestFit="1" customWidth="1"/>
    <col min="23" max="23" width="12.7109375" customWidth="1"/>
    <col min="257" max="257" width="13.7109375" customWidth="1"/>
    <col min="258" max="258" width="16.85546875" customWidth="1"/>
    <col min="259" max="259" width="14.85546875" bestFit="1" customWidth="1"/>
    <col min="260" max="260" width="11.140625" bestFit="1" customWidth="1"/>
    <col min="261" max="261" width="5.85546875" bestFit="1" customWidth="1"/>
    <col min="262" max="262" width="16.42578125" bestFit="1" customWidth="1"/>
    <col min="263" max="263" width="18.5703125" customWidth="1"/>
    <col min="273" max="273" width="13.7109375" customWidth="1"/>
    <col min="274" max="274" width="15.5703125" customWidth="1"/>
    <col min="275" max="275" width="14.42578125" bestFit="1" customWidth="1"/>
    <col min="276" max="276" width="10.85546875" bestFit="1" customWidth="1"/>
    <col min="277" max="277" width="10.42578125" customWidth="1"/>
    <col min="278" max="278" width="16.140625" bestFit="1" customWidth="1"/>
    <col min="279" max="279" width="12.7109375" customWidth="1"/>
    <col min="513" max="513" width="13.7109375" customWidth="1"/>
    <col min="514" max="514" width="16.85546875" customWidth="1"/>
    <col min="515" max="515" width="14.85546875" bestFit="1" customWidth="1"/>
    <col min="516" max="516" width="11.140625" bestFit="1" customWidth="1"/>
    <col min="517" max="517" width="5.85546875" bestFit="1" customWidth="1"/>
    <col min="518" max="518" width="16.42578125" bestFit="1" customWidth="1"/>
    <col min="519" max="519" width="18.5703125" customWidth="1"/>
    <col min="529" max="529" width="13.7109375" customWidth="1"/>
    <col min="530" max="530" width="15.5703125" customWidth="1"/>
    <col min="531" max="531" width="14.42578125" bestFit="1" customWidth="1"/>
    <col min="532" max="532" width="10.85546875" bestFit="1" customWidth="1"/>
    <col min="533" max="533" width="10.42578125" customWidth="1"/>
    <col min="534" max="534" width="16.140625" bestFit="1" customWidth="1"/>
    <col min="535" max="535" width="12.7109375" customWidth="1"/>
    <col min="769" max="769" width="13.7109375" customWidth="1"/>
    <col min="770" max="770" width="16.85546875" customWidth="1"/>
    <col min="771" max="771" width="14.85546875" bestFit="1" customWidth="1"/>
    <col min="772" max="772" width="11.140625" bestFit="1" customWidth="1"/>
    <col min="773" max="773" width="5.85546875" bestFit="1" customWidth="1"/>
    <col min="774" max="774" width="16.42578125" bestFit="1" customWidth="1"/>
    <col min="775" max="775" width="18.5703125" customWidth="1"/>
    <col min="785" max="785" width="13.7109375" customWidth="1"/>
    <col min="786" max="786" width="15.5703125" customWidth="1"/>
    <col min="787" max="787" width="14.42578125" bestFit="1" customWidth="1"/>
    <col min="788" max="788" width="10.85546875" bestFit="1" customWidth="1"/>
    <col min="789" max="789" width="10.42578125" customWidth="1"/>
    <col min="790" max="790" width="16.140625" bestFit="1" customWidth="1"/>
    <col min="791" max="791" width="12.7109375" customWidth="1"/>
    <col min="1025" max="1025" width="13.7109375" customWidth="1"/>
    <col min="1026" max="1026" width="16.85546875" customWidth="1"/>
    <col min="1027" max="1027" width="14.85546875" bestFit="1" customWidth="1"/>
    <col min="1028" max="1028" width="11.140625" bestFit="1" customWidth="1"/>
    <col min="1029" max="1029" width="5.85546875" bestFit="1" customWidth="1"/>
    <col min="1030" max="1030" width="16.42578125" bestFit="1" customWidth="1"/>
    <col min="1031" max="1031" width="18.5703125" customWidth="1"/>
    <col min="1041" max="1041" width="13.7109375" customWidth="1"/>
    <col min="1042" max="1042" width="15.5703125" customWidth="1"/>
    <col min="1043" max="1043" width="14.42578125" bestFit="1" customWidth="1"/>
    <col min="1044" max="1044" width="10.85546875" bestFit="1" customWidth="1"/>
    <col min="1045" max="1045" width="10.42578125" customWidth="1"/>
    <col min="1046" max="1046" width="16.140625" bestFit="1" customWidth="1"/>
    <col min="1047" max="1047" width="12.7109375" customWidth="1"/>
    <col min="1281" max="1281" width="13.7109375" customWidth="1"/>
    <col min="1282" max="1282" width="16.85546875" customWidth="1"/>
    <col min="1283" max="1283" width="14.85546875" bestFit="1" customWidth="1"/>
    <col min="1284" max="1284" width="11.140625" bestFit="1" customWidth="1"/>
    <col min="1285" max="1285" width="5.85546875" bestFit="1" customWidth="1"/>
    <col min="1286" max="1286" width="16.42578125" bestFit="1" customWidth="1"/>
    <col min="1287" max="1287" width="18.5703125" customWidth="1"/>
    <col min="1297" max="1297" width="13.7109375" customWidth="1"/>
    <col min="1298" max="1298" width="15.5703125" customWidth="1"/>
    <col min="1299" max="1299" width="14.42578125" bestFit="1" customWidth="1"/>
    <col min="1300" max="1300" width="10.85546875" bestFit="1" customWidth="1"/>
    <col min="1301" max="1301" width="10.42578125" customWidth="1"/>
    <col min="1302" max="1302" width="16.140625" bestFit="1" customWidth="1"/>
    <col min="1303" max="1303" width="12.7109375" customWidth="1"/>
    <col min="1537" max="1537" width="13.7109375" customWidth="1"/>
    <col min="1538" max="1538" width="16.85546875" customWidth="1"/>
    <col min="1539" max="1539" width="14.85546875" bestFit="1" customWidth="1"/>
    <col min="1540" max="1540" width="11.140625" bestFit="1" customWidth="1"/>
    <col min="1541" max="1541" width="5.85546875" bestFit="1" customWidth="1"/>
    <col min="1542" max="1542" width="16.42578125" bestFit="1" customWidth="1"/>
    <col min="1543" max="1543" width="18.5703125" customWidth="1"/>
    <col min="1553" max="1553" width="13.7109375" customWidth="1"/>
    <col min="1554" max="1554" width="15.5703125" customWidth="1"/>
    <col min="1555" max="1555" width="14.42578125" bestFit="1" customWidth="1"/>
    <col min="1556" max="1556" width="10.85546875" bestFit="1" customWidth="1"/>
    <col min="1557" max="1557" width="10.42578125" customWidth="1"/>
    <col min="1558" max="1558" width="16.140625" bestFit="1" customWidth="1"/>
    <col min="1559" max="1559" width="12.7109375" customWidth="1"/>
    <col min="1793" max="1793" width="13.7109375" customWidth="1"/>
    <col min="1794" max="1794" width="16.85546875" customWidth="1"/>
    <col min="1795" max="1795" width="14.85546875" bestFit="1" customWidth="1"/>
    <col min="1796" max="1796" width="11.140625" bestFit="1" customWidth="1"/>
    <col min="1797" max="1797" width="5.85546875" bestFit="1" customWidth="1"/>
    <col min="1798" max="1798" width="16.42578125" bestFit="1" customWidth="1"/>
    <col min="1799" max="1799" width="18.5703125" customWidth="1"/>
    <col min="1809" max="1809" width="13.7109375" customWidth="1"/>
    <col min="1810" max="1810" width="15.5703125" customWidth="1"/>
    <col min="1811" max="1811" width="14.42578125" bestFit="1" customWidth="1"/>
    <col min="1812" max="1812" width="10.85546875" bestFit="1" customWidth="1"/>
    <col min="1813" max="1813" width="10.42578125" customWidth="1"/>
    <col min="1814" max="1814" width="16.140625" bestFit="1" customWidth="1"/>
    <col min="1815" max="1815" width="12.7109375" customWidth="1"/>
    <col min="2049" max="2049" width="13.7109375" customWidth="1"/>
    <col min="2050" max="2050" width="16.85546875" customWidth="1"/>
    <col min="2051" max="2051" width="14.85546875" bestFit="1" customWidth="1"/>
    <col min="2052" max="2052" width="11.140625" bestFit="1" customWidth="1"/>
    <col min="2053" max="2053" width="5.85546875" bestFit="1" customWidth="1"/>
    <col min="2054" max="2054" width="16.42578125" bestFit="1" customWidth="1"/>
    <col min="2055" max="2055" width="18.5703125" customWidth="1"/>
    <col min="2065" max="2065" width="13.7109375" customWidth="1"/>
    <col min="2066" max="2066" width="15.5703125" customWidth="1"/>
    <col min="2067" max="2067" width="14.42578125" bestFit="1" customWidth="1"/>
    <col min="2068" max="2068" width="10.85546875" bestFit="1" customWidth="1"/>
    <col min="2069" max="2069" width="10.42578125" customWidth="1"/>
    <col min="2070" max="2070" width="16.140625" bestFit="1" customWidth="1"/>
    <col min="2071" max="2071" width="12.7109375" customWidth="1"/>
    <col min="2305" max="2305" width="13.7109375" customWidth="1"/>
    <col min="2306" max="2306" width="16.85546875" customWidth="1"/>
    <col min="2307" max="2307" width="14.85546875" bestFit="1" customWidth="1"/>
    <col min="2308" max="2308" width="11.140625" bestFit="1" customWidth="1"/>
    <col min="2309" max="2309" width="5.85546875" bestFit="1" customWidth="1"/>
    <col min="2310" max="2310" width="16.42578125" bestFit="1" customWidth="1"/>
    <col min="2311" max="2311" width="18.5703125" customWidth="1"/>
    <col min="2321" max="2321" width="13.7109375" customWidth="1"/>
    <col min="2322" max="2322" width="15.5703125" customWidth="1"/>
    <col min="2323" max="2323" width="14.42578125" bestFit="1" customWidth="1"/>
    <col min="2324" max="2324" width="10.85546875" bestFit="1" customWidth="1"/>
    <col min="2325" max="2325" width="10.42578125" customWidth="1"/>
    <col min="2326" max="2326" width="16.140625" bestFit="1" customWidth="1"/>
    <col min="2327" max="2327" width="12.7109375" customWidth="1"/>
    <col min="2561" max="2561" width="13.7109375" customWidth="1"/>
    <col min="2562" max="2562" width="16.85546875" customWidth="1"/>
    <col min="2563" max="2563" width="14.85546875" bestFit="1" customWidth="1"/>
    <col min="2564" max="2564" width="11.140625" bestFit="1" customWidth="1"/>
    <col min="2565" max="2565" width="5.85546875" bestFit="1" customWidth="1"/>
    <col min="2566" max="2566" width="16.42578125" bestFit="1" customWidth="1"/>
    <col min="2567" max="2567" width="18.5703125" customWidth="1"/>
    <col min="2577" max="2577" width="13.7109375" customWidth="1"/>
    <col min="2578" max="2578" width="15.5703125" customWidth="1"/>
    <col min="2579" max="2579" width="14.42578125" bestFit="1" customWidth="1"/>
    <col min="2580" max="2580" width="10.85546875" bestFit="1" customWidth="1"/>
    <col min="2581" max="2581" width="10.42578125" customWidth="1"/>
    <col min="2582" max="2582" width="16.140625" bestFit="1" customWidth="1"/>
    <col min="2583" max="2583" width="12.7109375" customWidth="1"/>
    <col min="2817" max="2817" width="13.7109375" customWidth="1"/>
    <col min="2818" max="2818" width="16.85546875" customWidth="1"/>
    <col min="2819" max="2819" width="14.85546875" bestFit="1" customWidth="1"/>
    <col min="2820" max="2820" width="11.140625" bestFit="1" customWidth="1"/>
    <col min="2821" max="2821" width="5.85546875" bestFit="1" customWidth="1"/>
    <col min="2822" max="2822" width="16.42578125" bestFit="1" customWidth="1"/>
    <col min="2823" max="2823" width="18.5703125" customWidth="1"/>
    <col min="2833" max="2833" width="13.7109375" customWidth="1"/>
    <col min="2834" max="2834" width="15.5703125" customWidth="1"/>
    <col min="2835" max="2835" width="14.42578125" bestFit="1" customWidth="1"/>
    <col min="2836" max="2836" width="10.85546875" bestFit="1" customWidth="1"/>
    <col min="2837" max="2837" width="10.42578125" customWidth="1"/>
    <col min="2838" max="2838" width="16.140625" bestFit="1" customWidth="1"/>
    <col min="2839" max="2839" width="12.7109375" customWidth="1"/>
    <col min="3073" max="3073" width="13.7109375" customWidth="1"/>
    <col min="3074" max="3074" width="16.85546875" customWidth="1"/>
    <col min="3075" max="3075" width="14.85546875" bestFit="1" customWidth="1"/>
    <col min="3076" max="3076" width="11.140625" bestFit="1" customWidth="1"/>
    <col min="3077" max="3077" width="5.85546875" bestFit="1" customWidth="1"/>
    <col min="3078" max="3078" width="16.42578125" bestFit="1" customWidth="1"/>
    <col min="3079" max="3079" width="18.5703125" customWidth="1"/>
    <col min="3089" max="3089" width="13.7109375" customWidth="1"/>
    <col min="3090" max="3090" width="15.5703125" customWidth="1"/>
    <col min="3091" max="3091" width="14.42578125" bestFit="1" customWidth="1"/>
    <col min="3092" max="3092" width="10.85546875" bestFit="1" customWidth="1"/>
    <col min="3093" max="3093" width="10.42578125" customWidth="1"/>
    <col min="3094" max="3094" width="16.140625" bestFit="1" customWidth="1"/>
    <col min="3095" max="3095" width="12.7109375" customWidth="1"/>
    <col min="3329" max="3329" width="13.7109375" customWidth="1"/>
    <col min="3330" max="3330" width="16.85546875" customWidth="1"/>
    <col min="3331" max="3331" width="14.85546875" bestFit="1" customWidth="1"/>
    <col min="3332" max="3332" width="11.140625" bestFit="1" customWidth="1"/>
    <col min="3333" max="3333" width="5.85546875" bestFit="1" customWidth="1"/>
    <col min="3334" max="3334" width="16.42578125" bestFit="1" customWidth="1"/>
    <col min="3335" max="3335" width="18.5703125" customWidth="1"/>
    <col min="3345" max="3345" width="13.7109375" customWidth="1"/>
    <col min="3346" max="3346" width="15.5703125" customWidth="1"/>
    <col min="3347" max="3347" width="14.42578125" bestFit="1" customWidth="1"/>
    <col min="3348" max="3348" width="10.85546875" bestFit="1" customWidth="1"/>
    <col min="3349" max="3349" width="10.42578125" customWidth="1"/>
    <col min="3350" max="3350" width="16.140625" bestFit="1" customWidth="1"/>
    <col min="3351" max="3351" width="12.7109375" customWidth="1"/>
    <col min="3585" max="3585" width="13.7109375" customWidth="1"/>
    <col min="3586" max="3586" width="16.85546875" customWidth="1"/>
    <col min="3587" max="3587" width="14.85546875" bestFit="1" customWidth="1"/>
    <col min="3588" max="3588" width="11.140625" bestFit="1" customWidth="1"/>
    <col min="3589" max="3589" width="5.85546875" bestFit="1" customWidth="1"/>
    <col min="3590" max="3590" width="16.42578125" bestFit="1" customWidth="1"/>
    <col min="3591" max="3591" width="18.5703125" customWidth="1"/>
    <col min="3601" max="3601" width="13.7109375" customWidth="1"/>
    <col min="3602" max="3602" width="15.5703125" customWidth="1"/>
    <col min="3603" max="3603" width="14.42578125" bestFit="1" customWidth="1"/>
    <col min="3604" max="3604" width="10.85546875" bestFit="1" customWidth="1"/>
    <col min="3605" max="3605" width="10.42578125" customWidth="1"/>
    <col min="3606" max="3606" width="16.140625" bestFit="1" customWidth="1"/>
    <col min="3607" max="3607" width="12.7109375" customWidth="1"/>
    <col min="3841" max="3841" width="13.7109375" customWidth="1"/>
    <col min="3842" max="3842" width="16.85546875" customWidth="1"/>
    <col min="3843" max="3843" width="14.85546875" bestFit="1" customWidth="1"/>
    <col min="3844" max="3844" width="11.140625" bestFit="1" customWidth="1"/>
    <col min="3845" max="3845" width="5.85546875" bestFit="1" customWidth="1"/>
    <col min="3846" max="3846" width="16.42578125" bestFit="1" customWidth="1"/>
    <col min="3847" max="3847" width="18.5703125" customWidth="1"/>
    <col min="3857" max="3857" width="13.7109375" customWidth="1"/>
    <col min="3858" max="3858" width="15.5703125" customWidth="1"/>
    <col min="3859" max="3859" width="14.42578125" bestFit="1" customWidth="1"/>
    <col min="3860" max="3860" width="10.85546875" bestFit="1" customWidth="1"/>
    <col min="3861" max="3861" width="10.42578125" customWidth="1"/>
    <col min="3862" max="3862" width="16.140625" bestFit="1" customWidth="1"/>
    <col min="3863" max="3863" width="12.7109375" customWidth="1"/>
    <col min="4097" max="4097" width="13.7109375" customWidth="1"/>
    <col min="4098" max="4098" width="16.85546875" customWidth="1"/>
    <col min="4099" max="4099" width="14.85546875" bestFit="1" customWidth="1"/>
    <col min="4100" max="4100" width="11.140625" bestFit="1" customWidth="1"/>
    <col min="4101" max="4101" width="5.85546875" bestFit="1" customWidth="1"/>
    <col min="4102" max="4102" width="16.42578125" bestFit="1" customWidth="1"/>
    <col min="4103" max="4103" width="18.5703125" customWidth="1"/>
    <col min="4113" max="4113" width="13.7109375" customWidth="1"/>
    <col min="4114" max="4114" width="15.5703125" customWidth="1"/>
    <col min="4115" max="4115" width="14.42578125" bestFit="1" customWidth="1"/>
    <col min="4116" max="4116" width="10.85546875" bestFit="1" customWidth="1"/>
    <col min="4117" max="4117" width="10.42578125" customWidth="1"/>
    <col min="4118" max="4118" width="16.140625" bestFit="1" customWidth="1"/>
    <col min="4119" max="4119" width="12.7109375" customWidth="1"/>
    <col min="4353" max="4353" width="13.7109375" customWidth="1"/>
    <col min="4354" max="4354" width="16.85546875" customWidth="1"/>
    <col min="4355" max="4355" width="14.85546875" bestFit="1" customWidth="1"/>
    <col min="4356" max="4356" width="11.140625" bestFit="1" customWidth="1"/>
    <col min="4357" max="4357" width="5.85546875" bestFit="1" customWidth="1"/>
    <col min="4358" max="4358" width="16.42578125" bestFit="1" customWidth="1"/>
    <col min="4359" max="4359" width="18.5703125" customWidth="1"/>
    <col min="4369" max="4369" width="13.7109375" customWidth="1"/>
    <col min="4370" max="4370" width="15.5703125" customWidth="1"/>
    <col min="4371" max="4371" width="14.42578125" bestFit="1" customWidth="1"/>
    <col min="4372" max="4372" width="10.85546875" bestFit="1" customWidth="1"/>
    <col min="4373" max="4373" width="10.42578125" customWidth="1"/>
    <col min="4374" max="4374" width="16.140625" bestFit="1" customWidth="1"/>
    <col min="4375" max="4375" width="12.7109375" customWidth="1"/>
    <col min="4609" max="4609" width="13.7109375" customWidth="1"/>
    <col min="4610" max="4610" width="16.85546875" customWidth="1"/>
    <col min="4611" max="4611" width="14.85546875" bestFit="1" customWidth="1"/>
    <col min="4612" max="4612" width="11.140625" bestFit="1" customWidth="1"/>
    <col min="4613" max="4613" width="5.85546875" bestFit="1" customWidth="1"/>
    <col min="4614" max="4614" width="16.42578125" bestFit="1" customWidth="1"/>
    <col min="4615" max="4615" width="18.5703125" customWidth="1"/>
    <col min="4625" max="4625" width="13.7109375" customWidth="1"/>
    <col min="4626" max="4626" width="15.5703125" customWidth="1"/>
    <col min="4627" max="4627" width="14.42578125" bestFit="1" customWidth="1"/>
    <col min="4628" max="4628" width="10.85546875" bestFit="1" customWidth="1"/>
    <col min="4629" max="4629" width="10.42578125" customWidth="1"/>
    <col min="4630" max="4630" width="16.140625" bestFit="1" customWidth="1"/>
    <col min="4631" max="4631" width="12.7109375" customWidth="1"/>
    <col min="4865" max="4865" width="13.7109375" customWidth="1"/>
    <col min="4866" max="4866" width="16.85546875" customWidth="1"/>
    <col min="4867" max="4867" width="14.85546875" bestFit="1" customWidth="1"/>
    <col min="4868" max="4868" width="11.140625" bestFit="1" customWidth="1"/>
    <col min="4869" max="4869" width="5.85546875" bestFit="1" customWidth="1"/>
    <col min="4870" max="4870" width="16.42578125" bestFit="1" customWidth="1"/>
    <col min="4871" max="4871" width="18.5703125" customWidth="1"/>
    <col min="4881" max="4881" width="13.7109375" customWidth="1"/>
    <col min="4882" max="4882" width="15.5703125" customWidth="1"/>
    <col min="4883" max="4883" width="14.42578125" bestFit="1" customWidth="1"/>
    <col min="4884" max="4884" width="10.85546875" bestFit="1" customWidth="1"/>
    <col min="4885" max="4885" width="10.42578125" customWidth="1"/>
    <col min="4886" max="4886" width="16.140625" bestFit="1" customWidth="1"/>
    <col min="4887" max="4887" width="12.7109375" customWidth="1"/>
    <col min="5121" max="5121" width="13.7109375" customWidth="1"/>
    <col min="5122" max="5122" width="16.85546875" customWidth="1"/>
    <col min="5123" max="5123" width="14.85546875" bestFit="1" customWidth="1"/>
    <col min="5124" max="5124" width="11.140625" bestFit="1" customWidth="1"/>
    <col min="5125" max="5125" width="5.85546875" bestFit="1" customWidth="1"/>
    <col min="5126" max="5126" width="16.42578125" bestFit="1" customWidth="1"/>
    <col min="5127" max="5127" width="18.5703125" customWidth="1"/>
    <col min="5137" max="5137" width="13.7109375" customWidth="1"/>
    <col min="5138" max="5138" width="15.5703125" customWidth="1"/>
    <col min="5139" max="5139" width="14.42578125" bestFit="1" customWidth="1"/>
    <col min="5140" max="5140" width="10.85546875" bestFit="1" customWidth="1"/>
    <col min="5141" max="5141" width="10.42578125" customWidth="1"/>
    <col min="5142" max="5142" width="16.140625" bestFit="1" customWidth="1"/>
    <col min="5143" max="5143" width="12.7109375" customWidth="1"/>
    <col min="5377" max="5377" width="13.7109375" customWidth="1"/>
    <col min="5378" max="5378" width="16.85546875" customWidth="1"/>
    <col min="5379" max="5379" width="14.85546875" bestFit="1" customWidth="1"/>
    <col min="5380" max="5380" width="11.140625" bestFit="1" customWidth="1"/>
    <col min="5381" max="5381" width="5.85546875" bestFit="1" customWidth="1"/>
    <col min="5382" max="5382" width="16.42578125" bestFit="1" customWidth="1"/>
    <col min="5383" max="5383" width="18.5703125" customWidth="1"/>
    <col min="5393" max="5393" width="13.7109375" customWidth="1"/>
    <col min="5394" max="5394" width="15.5703125" customWidth="1"/>
    <col min="5395" max="5395" width="14.42578125" bestFit="1" customWidth="1"/>
    <col min="5396" max="5396" width="10.85546875" bestFit="1" customWidth="1"/>
    <col min="5397" max="5397" width="10.42578125" customWidth="1"/>
    <col min="5398" max="5398" width="16.140625" bestFit="1" customWidth="1"/>
    <col min="5399" max="5399" width="12.7109375" customWidth="1"/>
    <col min="5633" max="5633" width="13.7109375" customWidth="1"/>
    <col min="5634" max="5634" width="16.85546875" customWidth="1"/>
    <col min="5635" max="5635" width="14.85546875" bestFit="1" customWidth="1"/>
    <col min="5636" max="5636" width="11.140625" bestFit="1" customWidth="1"/>
    <col min="5637" max="5637" width="5.85546875" bestFit="1" customWidth="1"/>
    <col min="5638" max="5638" width="16.42578125" bestFit="1" customWidth="1"/>
    <col min="5639" max="5639" width="18.5703125" customWidth="1"/>
    <col min="5649" max="5649" width="13.7109375" customWidth="1"/>
    <col min="5650" max="5650" width="15.5703125" customWidth="1"/>
    <col min="5651" max="5651" width="14.42578125" bestFit="1" customWidth="1"/>
    <col min="5652" max="5652" width="10.85546875" bestFit="1" customWidth="1"/>
    <col min="5653" max="5653" width="10.42578125" customWidth="1"/>
    <col min="5654" max="5654" width="16.140625" bestFit="1" customWidth="1"/>
    <col min="5655" max="5655" width="12.7109375" customWidth="1"/>
    <col min="5889" max="5889" width="13.7109375" customWidth="1"/>
    <col min="5890" max="5890" width="16.85546875" customWidth="1"/>
    <col min="5891" max="5891" width="14.85546875" bestFit="1" customWidth="1"/>
    <col min="5892" max="5892" width="11.140625" bestFit="1" customWidth="1"/>
    <col min="5893" max="5893" width="5.85546875" bestFit="1" customWidth="1"/>
    <col min="5894" max="5894" width="16.42578125" bestFit="1" customWidth="1"/>
    <col min="5895" max="5895" width="18.5703125" customWidth="1"/>
    <col min="5905" max="5905" width="13.7109375" customWidth="1"/>
    <col min="5906" max="5906" width="15.5703125" customWidth="1"/>
    <col min="5907" max="5907" width="14.42578125" bestFit="1" customWidth="1"/>
    <col min="5908" max="5908" width="10.85546875" bestFit="1" customWidth="1"/>
    <col min="5909" max="5909" width="10.42578125" customWidth="1"/>
    <col min="5910" max="5910" width="16.140625" bestFit="1" customWidth="1"/>
    <col min="5911" max="5911" width="12.7109375" customWidth="1"/>
    <col min="6145" max="6145" width="13.7109375" customWidth="1"/>
    <col min="6146" max="6146" width="16.85546875" customWidth="1"/>
    <col min="6147" max="6147" width="14.85546875" bestFit="1" customWidth="1"/>
    <col min="6148" max="6148" width="11.140625" bestFit="1" customWidth="1"/>
    <col min="6149" max="6149" width="5.85546875" bestFit="1" customWidth="1"/>
    <col min="6150" max="6150" width="16.42578125" bestFit="1" customWidth="1"/>
    <col min="6151" max="6151" width="18.5703125" customWidth="1"/>
    <col min="6161" max="6161" width="13.7109375" customWidth="1"/>
    <col min="6162" max="6162" width="15.5703125" customWidth="1"/>
    <col min="6163" max="6163" width="14.42578125" bestFit="1" customWidth="1"/>
    <col min="6164" max="6164" width="10.85546875" bestFit="1" customWidth="1"/>
    <col min="6165" max="6165" width="10.42578125" customWidth="1"/>
    <col min="6166" max="6166" width="16.140625" bestFit="1" customWidth="1"/>
    <col min="6167" max="6167" width="12.7109375" customWidth="1"/>
    <col min="6401" max="6401" width="13.7109375" customWidth="1"/>
    <col min="6402" max="6402" width="16.85546875" customWidth="1"/>
    <col min="6403" max="6403" width="14.85546875" bestFit="1" customWidth="1"/>
    <col min="6404" max="6404" width="11.140625" bestFit="1" customWidth="1"/>
    <col min="6405" max="6405" width="5.85546875" bestFit="1" customWidth="1"/>
    <col min="6406" max="6406" width="16.42578125" bestFit="1" customWidth="1"/>
    <col min="6407" max="6407" width="18.5703125" customWidth="1"/>
    <col min="6417" max="6417" width="13.7109375" customWidth="1"/>
    <col min="6418" max="6418" width="15.5703125" customWidth="1"/>
    <col min="6419" max="6419" width="14.42578125" bestFit="1" customWidth="1"/>
    <col min="6420" max="6420" width="10.85546875" bestFit="1" customWidth="1"/>
    <col min="6421" max="6421" width="10.42578125" customWidth="1"/>
    <col min="6422" max="6422" width="16.140625" bestFit="1" customWidth="1"/>
    <col min="6423" max="6423" width="12.7109375" customWidth="1"/>
    <col min="6657" max="6657" width="13.7109375" customWidth="1"/>
    <col min="6658" max="6658" width="16.85546875" customWidth="1"/>
    <col min="6659" max="6659" width="14.85546875" bestFit="1" customWidth="1"/>
    <col min="6660" max="6660" width="11.140625" bestFit="1" customWidth="1"/>
    <col min="6661" max="6661" width="5.85546875" bestFit="1" customWidth="1"/>
    <col min="6662" max="6662" width="16.42578125" bestFit="1" customWidth="1"/>
    <col min="6663" max="6663" width="18.5703125" customWidth="1"/>
    <col min="6673" max="6673" width="13.7109375" customWidth="1"/>
    <col min="6674" max="6674" width="15.5703125" customWidth="1"/>
    <col min="6675" max="6675" width="14.42578125" bestFit="1" customWidth="1"/>
    <col min="6676" max="6676" width="10.85546875" bestFit="1" customWidth="1"/>
    <col min="6677" max="6677" width="10.42578125" customWidth="1"/>
    <col min="6678" max="6678" width="16.140625" bestFit="1" customWidth="1"/>
    <col min="6679" max="6679" width="12.7109375" customWidth="1"/>
    <col min="6913" max="6913" width="13.7109375" customWidth="1"/>
    <col min="6914" max="6914" width="16.85546875" customWidth="1"/>
    <col min="6915" max="6915" width="14.85546875" bestFit="1" customWidth="1"/>
    <col min="6916" max="6916" width="11.140625" bestFit="1" customWidth="1"/>
    <col min="6917" max="6917" width="5.85546875" bestFit="1" customWidth="1"/>
    <col min="6918" max="6918" width="16.42578125" bestFit="1" customWidth="1"/>
    <col min="6919" max="6919" width="18.5703125" customWidth="1"/>
    <col min="6929" max="6929" width="13.7109375" customWidth="1"/>
    <col min="6930" max="6930" width="15.5703125" customWidth="1"/>
    <col min="6931" max="6931" width="14.42578125" bestFit="1" customWidth="1"/>
    <col min="6932" max="6932" width="10.85546875" bestFit="1" customWidth="1"/>
    <col min="6933" max="6933" width="10.42578125" customWidth="1"/>
    <col min="6934" max="6934" width="16.140625" bestFit="1" customWidth="1"/>
    <col min="6935" max="6935" width="12.7109375" customWidth="1"/>
    <col min="7169" max="7169" width="13.7109375" customWidth="1"/>
    <col min="7170" max="7170" width="16.85546875" customWidth="1"/>
    <col min="7171" max="7171" width="14.85546875" bestFit="1" customWidth="1"/>
    <col min="7172" max="7172" width="11.140625" bestFit="1" customWidth="1"/>
    <col min="7173" max="7173" width="5.85546875" bestFit="1" customWidth="1"/>
    <col min="7174" max="7174" width="16.42578125" bestFit="1" customWidth="1"/>
    <col min="7175" max="7175" width="18.5703125" customWidth="1"/>
    <col min="7185" max="7185" width="13.7109375" customWidth="1"/>
    <col min="7186" max="7186" width="15.5703125" customWidth="1"/>
    <col min="7187" max="7187" width="14.42578125" bestFit="1" customWidth="1"/>
    <col min="7188" max="7188" width="10.85546875" bestFit="1" customWidth="1"/>
    <col min="7189" max="7189" width="10.42578125" customWidth="1"/>
    <col min="7190" max="7190" width="16.140625" bestFit="1" customWidth="1"/>
    <col min="7191" max="7191" width="12.7109375" customWidth="1"/>
    <col min="7425" max="7425" width="13.7109375" customWidth="1"/>
    <col min="7426" max="7426" width="16.85546875" customWidth="1"/>
    <col min="7427" max="7427" width="14.85546875" bestFit="1" customWidth="1"/>
    <col min="7428" max="7428" width="11.140625" bestFit="1" customWidth="1"/>
    <col min="7429" max="7429" width="5.85546875" bestFit="1" customWidth="1"/>
    <col min="7430" max="7430" width="16.42578125" bestFit="1" customWidth="1"/>
    <col min="7431" max="7431" width="18.5703125" customWidth="1"/>
    <col min="7441" max="7441" width="13.7109375" customWidth="1"/>
    <col min="7442" max="7442" width="15.5703125" customWidth="1"/>
    <col min="7443" max="7443" width="14.42578125" bestFit="1" customWidth="1"/>
    <col min="7444" max="7444" width="10.85546875" bestFit="1" customWidth="1"/>
    <col min="7445" max="7445" width="10.42578125" customWidth="1"/>
    <col min="7446" max="7446" width="16.140625" bestFit="1" customWidth="1"/>
    <col min="7447" max="7447" width="12.7109375" customWidth="1"/>
    <col min="7681" max="7681" width="13.7109375" customWidth="1"/>
    <col min="7682" max="7682" width="16.85546875" customWidth="1"/>
    <col min="7683" max="7683" width="14.85546875" bestFit="1" customWidth="1"/>
    <col min="7684" max="7684" width="11.140625" bestFit="1" customWidth="1"/>
    <col min="7685" max="7685" width="5.85546875" bestFit="1" customWidth="1"/>
    <col min="7686" max="7686" width="16.42578125" bestFit="1" customWidth="1"/>
    <col min="7687" max="7687" width="18.5703125" customWidth="1"/>
    <col min="7697" max="7697" width="13.7109375" customWidth="1"/>
    <col min="7698" max="7698" width="15.5703125" customWidth="1"/>
    <col min="7699" max="7699" width="14.42578125" bestFit="1" customWidth="1"/>
    <col min="7700" max="7700" width="10.85546875" bestFit="1" customWidth="1"/>
    <col min="7701" max="7701" width="10.42578125" customWidth="1"/>
    <col min="7702" max="7702" width="16.140625" bestFit="1" customWidth="1"/>
    <col min="7703" max="7703" width="12.7109375" customWidth="1"/>
    <col min="7937" max="7937" width="13.7109375" customWidth="1"/>
    <col min="7938" max="7938" width="16.85546875" customWidth="1"/>
    <col min="7939" max="7939" width="14.85546875" bestFit="1" customWidth="1"/>
    <col min="7940" max="7940" width="11.140625" bestFit="1" customWidth="1"/>
    <col min="7941" max="7941" width="5.85546875" bestFit="1" customWidth="1"/>
    <col min="7942" max="7942" width="16.42578125" bestFit="1" customWidth="1"/>
    <col min="7943" max="7943" width="18.5703125" customWidth="1"/>
    <col min="7953" max="7953" width="13.7109375" customWidth="1"/>
    <col min="7954" max="7954" width="15.5703125" customWidth="1"/>
    <col min="7955" max="7955" width="14.42578125" bestFit="1" customWidth="1"/>
    <col min="7956" max="7956" width="10.85546875" bestFit="1" customWidth="1"/>
    <col min="7957" max="7957" width="10.42578125" customWidth="1"/>
    <col min="7958" max="7958" width="16.140625" bestFit="1" customWidth="1"/>
    <col min="7959" max="7959" width="12.7109375" customWidth="1"/>
    <col min="8193" max="8193" width="13.7109375" customWidth="1"/>
    <col min="8194" max="8194" width="16.85546875" customWidth="1"/>
    <col min="8195" max="8195" width="14.85546875" bestFit="1" customWidth="1"/>
    <col min="8196" max="8196" width="11.140625" bestFit="1" customWidth="1"/>
    <col min="8197" max="8197" width="5.85546875" bestFit="1" customWidth="1"/>
    <col min="8198" max="8198" width="16.42578125" bestFit="1" customWidth="1"/>
    <col min="8199" max="8199" width="18.5703125" customWidth="1"/>
    <col min="8209" max="8209" width="13.7109375" customWidth="1"/>
    <col min="8210" max="8210" width="15.5703125" customWidth="1"/>
    <col min="8211" max="8211" width="14.42578125" bestFit="1" customWidth="1"/>
    <col min="8212" max="8212" width="10.85546875" bestFit="1" customWidth="1"/>
    <col min="8213" max="8213" width="10.42578125" customWidth="1"/>
    <col min="8214" max="8214" width="16.140625" bestFit="1" customWidth="1"/>
    <col min="8215" max="8215" width="12.7109375" customWidth="1"/>
    <col min="8449" max="8449" width="13.7109375" customWidth="1"/>
    <col min="8450" max="8450" width="16.85546875" customWidth="1"/>
    <col min="8451" max="8451" width="14.85546875" bestFit="1" customWidth="1"/>
    <col min="8452" max="8452" width="11.140625" bestFit="1" customWidth="1"/>
    <col min="8453" max="8453" width="5.85546875" bestFit="1" customWidth="1"/>
    <col min="8454" max="8454" width="16.42578125" bestFit="1" customWidth="1"/>
    <col min="8455" max="8455" width="18.5703125" customWidth="1"/>
    <col min="8465" max="8465" width="13.7109375" customWidth="1"/>
    <col min="8466" max="8466" width="15.5703125" customWidth="1"/>
    <col min="8467" max="8467" width="14.42578125" bestFit="1" customWidth="1"/>
    <col min="8468" max="8468" width="10.85546875" bestFit="1" customWidth="1"/>
    <col min="8469" max="8469" width="10.42578125" customWidth="1"/>
    <col min="8470" max="8470" width="16.140625" bestFit="1" customWidth="1"/>
    <col min="8471" max="8471" width="12.7109375" customWidth="1"/>
    <col min="8705" max="8705" width="13.7109375" customWidth="1"/>
    <col min="8706" max="8706" width="16.85546875" customWidth="1"/>
    <col min="8707" max="8707" width="14.85546875" bestFit="1" customWidth="1"/>
    <col min="8708" max="8708" width="11.140625" bestFit="1" customWidth="1"/>
    <col min="8709" max="8709" width="5.85546875" bestFit="1" customWidth="1"/>
    <col min="8710" max="8710" width="16.42578125" bestFit="1" customWidth="1"/>
    <col min="8711" max="8711" width="18.5703125" customWidth="1"/>
    <col min="8721" max="8721" width="13.7109375" customWidth="1"/>
    <col min="8722" max="8722" width="15.5703125" customWidth="1"/>
    <col min="8723" max="8723" width="14.42578125" bestFit="1" customWidth="1"/>
    <col min="8724" max="8724" width="10.85546875" bestFit="1" customWidth="1"/>
    <col min="8725" max="8725" width="10.42578125" customWidth="1"/>
    <col min="8726" max="8726" width="16.140625" bestFit="1" customWidth="1"/>
    <col min="8727" max="8727" width="12.7109375" customWidth="1"/>
    <col min="8961" max="8961" width="13.7109375" customWidth="1"/>
    <col min="8962" max="8962" width="16.85546875" customWidth="1"/>
    <col min="8963" max="8963" width="14.85546875" bestFit="1" customWidth="1"/>
    <col min="8964" max="8964" width="11.140625" bestFit="1" customWidth="1"/>
    <col min="8965" max="8965" width="5.85546875" bestFit="1" customWidth="1"/>
    <col min="8966" max="8966" width="16.42578125" bestFit="1" customWidth="1"/>
    <col min="8967" max="8967" width="18.5703125" customWidth="1"/>
    <col min="8977" max="8977" width="13.7109375" customWidth="1"/>
    <col min="8978" max="8978" width="15.5703125" customWidth="1"/>
    <col min="8979" max="8979" width="14.42578125" bestFit="1" customWidth="1"/>
    <col min="8980" max="8980" width="10.85546875" bestFit="1" customWidth="1"/>
    <col min="8981" max="8981" width="10.42578125" customWidth="1"/>
    <col min="8982" max="8982" width="16.140625" bestFit="1" customWidth="1"/>
    <col min="8983" max="8983" width="12.7109375" customWidth="1"/>
    <col min="9217" max="9217" width="13.7109375" customWidth="1"/>
    <col min="9218" max="9218" width="16.85546875" customWidth="1"/>
    <col min="9219" max="9219" width="14.85546875" bestFit="1" customWidth="1"/>
    <col min="9220" max="9220" width="11.140625" bestFit="1" customWidth="1"/>
    <col min="9221" max="9221" width="5.85546875" bestFit="1" customWidth="1"/>
    <col min="9222" max="9222" width="16.42578125" bestFit="1" customWidth="1"/>
    <col min="9223" max="9223" width="18.5703125" customWidth="1"/>
    <col min="9233" max="9233" width="13.7109375" customWidth="1"/>
    <col min="9234" max="9234" width="15.5703125" customWidth="1"/>
    <col min="9235" max="9235" width="14.42578125" bestFit="1" customWidth="1"/>
    <col min="9236" max="9236" width="10.85546875" bestFit="1" customWidth="1"/>
    <col min="9237" max="9237" width="10.42578125" customWidth="1"/>
    <col min="9238" max="9238" width="16.140625" bestFit="1" customWidth="1"/>
    <col min="9239" max="9239" width="12.7109375" customWidth="1"/>
    <col min="9473" max="9473" width="13.7109375" customWidth="1"/>
    <col min="9474" max="9474" width="16.85546875" customWidth="1"/>
    <col min="9475" max="9475" width="14.85546875" bestFit="1" customWidth="1"/>
    <col min="9476" max="9476" width="11.140625" bestFit="1" customWidth="1"/>
    <col min="9477" max="9477" width="5.85546875" bestFit="1" customWidth="1"/>
    <col min="9478" max="9478" width="16.42578125" bestFit="1" customWidth="1"/>
    <col min="9479" max="9479" width="18.5703125" customWidth="1"/>
    <col min="9489" max="9489" width="13.7109375" customWidth="1"/>
    <col min="9490" max="9490" width="15.5703125" customWidth="1"/>
    <col min="9491" max="9491" width="14.42578125" bestFit="1" customWidth="1"/>
    <col min="9492" max="9492" width="10.85546875" bestFit="1" customWidth="1"/>
    <col min="9493" max="9493" width="10.42578125" customWidth="1"/>
    <col min="9494" max="9494" width="16.140625" bestFit="1" customWidth="1"/>
    <col min="9495" max="9495" width="12.7109375" customWidth="1"/>
    <col min="9729" max="9729" width="13.7109375" customWidth="1"/>
    <col min="9730" max="9730" width="16.85546875" customWidth="1"/>
    <col min="9731" max="9731" width="14.85546875" bestFit="1" customWidth="1"/>
    <col min="9732" max="9732" width="11.140625" bestFit="1" customWidth="1"/>
    <col min="9733" max="9733" width="5.85546875" bestFit="1" customWidth="1"/>
    <col min="9734" max="9734" width="16.42578125" bestFit="1" customWidth="1"/>
    <col min="9735" max="9735" width="18.5703125" customWidth="1"/>
    <col min="9745" max="9745" width="13.7109375" customWidth="1"/>
    <col min="9746" max="9746" width="15.5703125" customWidth="1"/>
    <col min="9747" max="9747" width="14.42578125" bestFit="1" customWidth="1"/>
    <col min="9748" max="9748" width="10.85546875" bestFit="1" customWidth="1"/>
    <col min="9749" max="9749" width="10.42578125" customWidth="1"/>
    <col min="9750" max="9750" width="16.140625" bestFit="1" customWidth="1"/>
    <col min="9751" max="9751" width="12.7109375" customWidth="1"/>
    <col min="9985" max="9985" width="13.7109375" customWidth="1"/>
    <col min="9986" max="9986" width="16.85546875" customWidth="1"/>
    <col min="9987" max="9987" width="14.85546875" bestFit="1" customWidth="1"/>
    <col min="9988" max="9988" width="11.140625" bestFit="1" customWidth="1"/>
    <col min="9989" max="9989" width="5.85546875" bestFit="1" customWidth="1"/>
    <col min="9990" max="9990" width="16.42578125" bestFit="1" customWidth="1"/>
    <col min="9991" max="9991" width="18.5703125" customWidth="1"/>
    <col min="10001" max="10001" width="13.7109375" customWidth="1"/>
    <col min="10002" max="10002" width="15.5703125" customWidth="1"/>
    <col min="10003" max="10003" width="14.42578125" bestFit="1" customWidth="1"/>
    <col min="10004" max="10004" width="10.85546875" bestFit="1" customWidth="1"/>
    <col min="10005" max="10005" width="10.42578125" customWidth="1"/>
    <col min="10006" max="10006" width="16.140625" bestFit="1" customWidth="1"/>
    <col min="10007" max="10007" width="12.7109375" customWidth="1"/>
    <col min="10241" max="10241" width="13.7109375" customWidth="1"/>
    <col min="10242" max="10242" width="16.85546875" customWidth="1"/>
    <col min="10243" max="10243" width="14.85546875" bestFit="1" customWidth="1"/>
    <col min="10244" max="10244" width="11.140625" bestFit="1" customWidth="1"/>
    <col min="10245" max="10245" width="5.85546875" bestFit="1" customWidth="1"/>
    <col min="10246" max="10246" width="16.42578125" bestFit="1" customWidth="1"/>
    <col min="10247" max="10247" width="18.5703125" customWidth="1"/>
    <col min="10257" max="10257" width="13.7109375" customWidth="1"/>
    <col min="10258" max="10258" width="15.5703125" customWidth="1"/>
    <col min="10259" max="10259" width="14.42578125" bestFit="1" customWidth="1"/>
    <col min="10260" max="10260" width="10.85546875" bestFit="1" customWidth="1"/>
    <col min="10261" max="10261" width="10.42578125" customWidth="1"/>
    <col min="10262" max="10262" width="16.140625" bestFit="1" customWidth="1"/>
    <col min="10263" max="10263" width="12.7109375" customWidth="1"/>
    <col min="10497" max="10497" width="13.7109375" customWidth="1"/>
    <col min="10498" max="10498" width="16.85546875" customWidth="1"/>
    <col min="10499" max="10499" width="14.85546875" bestFit="1" customWidth="1"/>
    <col min="10500" max="10500" width="11.140625" bestFit="1" customWidth="1"/>
    <col min="10501" max="10501" width="5.85546875" bestFit="1" customWidth="1"/>
    <col min="10502" max="10502" width="16.42578125" bestFit="1" customWidth="1"/>
    <col min="10503" max="10503" width="18.5703125" customWidth="1"/>
    <col min="10513" max="10513" width="13.7109375" customWidth="1"/>
    <col min="10514" max="10514" width="15.5703125" customWidth="1"/>
    <col min="10515" max="10515" width="14.42578125" bestFit="1" customWidth="1"/>
    <col min="10516" max="10516" width="10.85546875" bestFit="1" customWidth="1"/>
    <col min="10517" max="10517" width="10.42578125" customWidth="1"/>
    <col min="10518" max="10518" width="16.140625" bestFit="1" customWidth="1"/>
    <col min="10519" max="10519" width="12.7109375" customWidth="1"/>
    <col min="10753" max="10753" width="13.7109375" customWidth="1"/>
    <col min="10754" max="10754" width="16.85546875" customWidth="1"/>
    <col min="10755" max="10755" width="14.85546875" bestFit="1" customWidth="1"/>
    <col min="10756" max="10756" width="11.140625" bestFit="1" customWidth="1"/>
    <col min="10757" max="10757" width="5.85546875" bestFit="1" customWidth="1"/>
    <col min="10758" max="10758" width="16.42578125" bestFit="1" customWidth="1"/>
    <col min="10759" max="10759" width="18.5703125" customWidth="1"/>
    <col min="10769" max="10769" width="13.7109375" customWidth="1"/>
    <col min="10770" max="10770" width="15.5703125" customWidth="1"/>
    <col min="10771" max="10771" width="14.42578125" bestFit="1" customWidth="1"/>
    <col min="10772" max="10772" width="10.85546875" bestFit="1" customWidth="1"/>
    <col min="10773" max="10773" width="10.42578125" customWidth="1"/>
    <col min="10774" max="10774" width="16.140625" bestFit="1" customWidth="1"/>
    <col min="10775" max="10775" width="12.7109375" customWidth="1"/>
    <col min="11009" max="11009" width="13.7109375" customWidth="1"/>
    <col min="11010" max="11010" width="16.85546875" customWidth="1"/>
    <col min="11011" max="11011" width="14.85546875" bestFit="1" customWidth="1"/>
    <col min="11012" max="11012" width="11.140625" bestFit="1" customWidth="1"/>
    <col min="11013" max="11013" width="5.85546875" bestFit="1" customWidth="1"/>
    <col min="11014" max="11014" width="16.42578125" bestFit="1" customWidth="1"/>
    <col min="11015" max="11015" width="18.5703125" customWidth="1"/>
    <col min="11025" max="11025" width="13.7109375" customWidth="1"/>
    <col min="11026" max="11026" width="15.5703125" customWidth="1"/>
    <col min="11027" max="11027" width="14.42578125" bestFit="1" customWidth="1"/>
    <col min="11028" max="11028" width="10.85546875" bestFit="1" customWidth="1"/>
    <col min="11029" max="11029" width="10.42578125" customWidth="1"/>
    <col min="11030" max="11030" width="16.140625" bestFit="1" customWidth="1"/>
    <col min="11031" max="11031" width="12.7109375" customWidth="1"/>
    <col min="11265" max="11265" width="13.7109375" customWidth="1"/>
    <col min="11266" max="11266" width="16.85546875" customWidth="1"/>
    <col min="11267" max="11267" width="14.85546875" bestFit="1" customWidth="1"/>
    <col min="11268" max="11268" width="11.140625" bestFit="1" customWidth="1"/>
    <col min="11269" max="11269" width="5.85546875" bestFit="1" customWidth="1"/>
    <col min="11270" max="11270" width="16.42578125" bestFit="1" customWidth="1"/>
    <col min="11271" max="11271" width="18.5703125" customWidth="1"/>
    <col min="11281" max="11281" width="13.7109375" customWidth="1"/>
    <col min="11282" max="11282" width="15.5703125" customWidth="1"/>
    <col min="11283" max="11283" width="14.42578125" bestFit="1" customWidth="1"/>
    <col min="11284" max="11284" width="10.85546875" bestFit="1" customWidth="1"/>
    <col min="11285" max="11285" width="10.42578125" customWidth="1"/>
    <col min="11286" max="11286" width="16.140625" bestFit="1" customWidth="1"/>
    <col min="11287" max="11287" width="12.7109375" customWidth="1"/>
    <col min="11521" max="11521" width="13.7109375" customWidth="1"/>
    <col min="11522" max="11522" width="16.85546875" customWidth="1"/>
    <col min="11523" max="11523" width="14.85546875" bestFit="1" customWidth="1"/>
    <col min="11524" max="11524" width="11.140625" bestFit="1" customWidth="1"/>
    <col min="11525" max="11525" width="5.85546875" bestFit="1" customWidth="1"/>
    <col min="11526" max="11526" width="16.42578125" bestFit="1" customWidth="1"/>
    <col min="11527" max="11527" width="18.5703125" customWidth="1"/>
    <col min="11537" max="11537" width="13.7109375" customWidth="1"/>
    <col min="11538" max="11538" width="15.5703125" customWidth="1"/>
    <col min="11539" max="11539" width="14.42578125" bestFit="1" customWidth="1"/>
    <col min="11540" max="11540" width="10.85546875" bestFit="1" customWidth="1"/>
    <col min="11541" max="11541" width="10.42578125" customWidth="1"/>
    <col min="11542" max="11542" width="16.140625" bestFit="1" customWidth="1"/>
    <col min="11543" max="11543" width="12.7109375" customWidth="1"/>
    <col min="11777" max="11777" width="13.7109375" customWidth="1"/>
    <col min="11778" max="11778" width="16.85546875" customWidth="1"/>
    <col min="11779" max="11779" width="14.85546875" bestFit="1" customWidth="1"/>
    <col min="11780" max="11780" width="11.140625" bestFit="1" customWidth="1"/>
    <col min="11781" max="11781" width="5.85546875" bestFit="1" customWidth="1"/>
    <col min="11782" max="11782" width="16.42578125" bestFit="1" customWidth="1"/>
    <col min="11783" max="11783" width="18.5703125" customWidth="1"/>
    <col min="11793" max="11793" width="13.7109375" customWidth="1"/>
    <col min="11794" max="11794" width="15.5703125" customWidth="1"/>
    <col min="11795" max="11795" width="14.42578125" bestFit="1" customWidth="1"/>
    <col min="11796" max="11796" width="10.85546875" bestFit="1" customWidth="1"/>
    <col min="11797" max="11797" width="10.42578125" customWidth="1"/>
    <col min="11798" max="11798" width="16.140625" bestFit="1" customWidth="1"/>
    <col min="11799" max="11799" width="12.7109375" customWidth="1"/>
    <col min="12033" max="12033" width="13.7109375" customWidth="1"/>
    <col min="12034" max="12034" width="16.85546875" customWidth="1"/>
    <col min="12035" max="12035" width="14.85546875" bestFit="1" customWidth="1"/>
    <col min="12036" max="12036" width="11.140625" bestFit="1" customWidth="1"/>
    <col min="12037" max="12037" width="5.85546875" bestFit="1" customWidth="1"/>
    <col min="12038" max="12038" width="16.42578125" bestFit="1" customWidth="1"/>
    <col min="12039" max="12039" width="18.5703125" customWidth="1"/>
    <col min="12049" max="12049" width="13.7109375" customWidth="1"/>
    <col min="12050" max="12050" width="15.5703125" customWidth="1"/>
    <col min="12051" max="12051" width="14.42578125" bestFit="1" customWidth="1"/>
    <col min="12052" max="12052" width="10.85546875" bestFit="1" customWidth="1"/>
    <col min="12053" max="12053" width="10.42578125" customWidth="1"/>
    <col min="12054" max="12054" width="16.140625" bestFit="1" customWidth="1"/>
    <col min="12055" max="12055" width="12.7109375" customWidth="1"/>
    <col min="12289" max="12289" width="13.7109375" customWidth="1"/>
    <col min="12290" max="12290" width="16.85546875" customWidth="1"/>
    <col min="12291" max="12291" width="14.85546875" bestFit="1" customWidth="1"/>
    <col min="12292" max="12292" width="11.140625" bestFit="1" customWidth="1"/>
    <col min="12293" max="12293" width="5.85546875" bestFit="1" customWidth="1"/>
    <col min="12294" max="12294" width="16.42578125" bestFit="1" customWidth="1"/>
    <col min="12295" max="12295" width="18.5703125" customWidth="1"/>
    <col min="12305" max="12305" width="13.7109375" customWidth="1"/>
    <col min="12306" max="12306" width="15.5703125" customWidth="1"/>
    <col min="12307" max="12307" width="14.42578125" bestFit="1" customWidth="1"/>
    <col min="12308" max="12308" width="10.85546875" bestFit="1" customWidth="1"/>
    <col min="12309" max="12309" width="10.42578125" customWidth="1"/>
    <col min="12310" max="12310" width="16.140625" bestFit="1" customWidth="1"/>
    <col min="12311" max="12311" width="12.7109375" customWidth="1"/>
    <col min="12545" max="12545" width="13.7109375" customWidth="1"/>
    <col min="12546" max="12546" width="16.85546875" customWidth="1"/>
    <col min="12547" max="12547" width="14.85546875" bestFit="1" customWidth="1"/>
    <col min="12548" max="12548" width="11.140625" bestFit="1" customWidth="1"/>
    <col min="12549" max="12549" width="5.85546875" bestFit="1" customWidth="1"/>
    <col min="12550" max="12550" width="16.42578125" bestFit="1" customWidth="1"/>
    <col min="12551" max="12551" width="18.5703125" customWidth="1"/>
    <col min="12561" max="12561" width="13.7109375" customWidth="1"/>
    <col min="12562" max="12562" width="15.5703125" customWidth="1"/>
    <col min="12563" max="12563" width="14.42578125" bestFit="1" customWidth="1"/>
    <col min="12564" max="12564" width="10.85546875" bestFit="1" customWidth="1"/>
    <col min="12565" max="12565" width="10.42578125" customWidth="1"/>
    <col min="12566" max="12566" width="16.140625" bestFit="1" customWidth="1"/>
    <col min="12567" max="12567" width="12.7109375" customWidth="1"/>
    <col min="12801" max="12801" width="13.7109375" customWidth="1"/>
    <col min="12802" max="12802" width="16.85546875" customWidth="1"/>
    <col min="12803" max="12803" width="14.85546875" bestFit="1" customWidth="1"/>
    <col min="12804" max="12804" width="11.140625" bestFit="1" customWidth="1"/>
    <col min="12805" max="12805" width="5.85546875" bestFit="1" customWidth="1"/>
    <col min="12806" max="12806" width="16.42578125" bestFit="1" customWidth="1"/>
    <col min="12807" max="12807" width="18.5703125" customWidth="1"/>
    <col min="12817" max="12817" width="13.7109375" customWidth="1"/>
    <col min="12818" max="12818" width="15.5703125" customWidth="1"/>
    <col min="12819" max="12819" width="14.42578125" bestFit="1" customWidth="1"/>
    <col min="12820" max="12820" width="10.85546875" bestFit="1" customWidth="1"/>
    <col min="12821" max="12821" width="10.42578125" customWidth="1"/>
    <col min="12822" max="12822" width="16.140625" bestFit="1" customWidth="1"/>
    <col min="12823" max="12823" width="12.7109375" customWidth="1"/>
    <col min="13057" max="13057" width="13.7109375" customWidth="1"/>
    <col min="13058" max="13058" width="16.85546875" customWidth="1"/>
    <col min="13059" max="13059" width="14.85546875" bestFit="1" customWidth="1"/>
    <col min="13060" max="13060" width="11.140625" bestFit="1" customWidth="1"/>
    <col min="13061" max="13061" width="5.85546875" bestFit="1" customWidth="1"/>
    <col min="13062" max="13062" width="16.42578125" bestFit="1" customWidth="1"/>
    <col min="13063" max="13063" width="18.5703125" customWidth="1"/>
    <col min="13073" max="13073" width="13.7109375" customWidth="1"/>
    <col min="13074" max="13074" width="15.5703125" customWidth="1"/>
    <col min="13075" max="13075" width="14.42578125" bestFit="1" customWidth="1"/>
    <col min="13076" max="13076" width="10.85546875" bestFit="1" customWidth="1"/>
    <col min="13077" max="13077" width="10.42578125" customWidth="1"/>
    <col min="13078" max="13078" width="16.140625" bestFit="1" customWidth="1"/>
    <col min="13079" max="13079" width="12.7109375" customWidth="1"/>
    <col min="13313" max="13313" width="13.7109375" customWidth="1"/>
    <col min="13314" max="13314" width="16.85546875" customWidth="1"/>
    <col min="13315" max="13315" width="14.85546875" bestFit="1" customWidth="1"/>
    <col min="13316" max="13316" width="11.140625" bestFit="1" customWidth="1"/>
    <col min="13317" max="13317" width="5.85546875" bestFit="1" customWidth="1"/>
    <col min="13318" max="13318" width="16.42578125" bestFit="1" customWidth="1"/>
    <col min="13319" max="13319" width="18.5703125" customWidth="1"/>
    <col min="13329" max="13329" width="13.7109375" customWidth="1"/>
    <col min="13330" max="13330" width="15.5703125" customWidth="1"/>
    <col min="13331" max="13331" width="14.42578125" bestFit="1" customWidth="1"/>
    <col min="13332" max="13332" width="10.85546875" bestFit="1" customWidth="1"/>
    <col min="13333" max="13333" width="10.42578125" customWidth="1"/>
    <col min="13334" max="13334" width="16.140625" bestFit="1" customWidth="1"/>
    <col min="13335" max="13335" width="12.7109375" customWidth="1"/>
    <col min="13569" max="13569" width="13.7109375" customWidth="1"/>
    <col min="13570" max="13570" width="16.85546875" customWidth="1"/>
    <col min="13571" max="13571" width="14.85546875" bestFit="1" customWidth="1"/>
    <col min="13572" max="13572" width="11.140625" bestFit="1" customWidth="1"/>
    <col min="13573" max="13573" width="5.85546875" bestFit="1" customWidth="1"/>
    <col min="13574" max="13574" width="16.42578125" bestFit="1" customWidth="1"/>
    <col min="13575" max="13575" width="18.5703125" customWidth="1"/>
    <col min="13585" max="13585" width="13.7109375" customWidth="1"/>
    <col min="13586" max="13586" width="15.5703125" customWidth="1"/>
    <col min="13587" max="13587" width="14.42578125" bestFit="1" customWidth="1"/>
    <col min="13588" max="13588" width="10.85546875" bestFit="1" customWidth="1"/>
    <col min="13589" max="13589" width="10.42578125" customWidth="1"/>
    <col min="13590" max="13590" width="16.140625" bestFit="1" customWidth="1"/>
    <col min="13591" max="13591" width="12.7109375" customWidth="1"/>
    <col min="13825" max="13825" width="13.7109375" customWidth="1"/>
    <col min="13826" max="13826" width="16.85546875" customWidth="1"/>
    <col min="13827" max="13827" width="14.85546875" bestFit="1" customWidth="1"/>
    <col min="13828" max="13828" width="11.140625" bestFit="1" customWidth="1"/>
    <col min="13829" max="13829" width="5.85546875" bestFit="1" customWidth="1"/>
    <col min="13830" max="13830" width="16.42578125" bestFit="1" customWidth="1"/>
    <col min="13831" max="13831" width="18.5703125" customWidth="1"/>
    <col min="13841" max="13841" width="13.7109375" customWidth="1"/>
    <col min="13842" max="13842" width="15.5703125" customWidth="1"/>
    <col min="13843" max="13843" width="14.42578125" bestFit="1" customWidth="1"/>
    <col min="13844" max="13844" width="10.85546875" bestFit="1" customWidth="1"/>
    <col min="13845" max="13845" width="10.42578125" customWidth="1"/>
    <col min="13846" max="13846" width="16.140625" bestFit="1" customWidth="1"/>
    <col min="13847" max="13847" width="12.7109375" customWidth="1"/>
    <col min="14081" max="14081" width="13.7109375" customWidth="1"/>
    <col min="14082" max="14082" width="16.85546875" customWidth="1"/>
    <col min="14083" max="14083" width="14.85546875" bestFit="1" customWidth="1"/>
    <col min="14084" max="14084" width="11.140625" bestFit="1" customWidth="1"/>
    <col min="14085" max="14085" width="5.85546875" bestFit="1" customWidth="1"/>
    <col min="14086" max="14086" width="16.42578125" bestFit="1" customWidth="1"/>
    <col min="14087" max="14087" width="18.5703125" customWidth="1"/>
    <col min="14097" max="14097" width="13.7109375" customWidth="1"/>
    <col min="14098" max="14098" width="15.5703125" customWidth="1"/>
    <col min="14099" max="14099" width="14.42578125" bestFit="1" customWidth="1"/>
    <col min="14100" max="14100" width="10.85546875" bestFit="1" customWidth="1"/>
    <col min="14101" max="14101" width="10.42578125" customWidth="1"/>
    <col min="14102" max="14102" width="16.140625" bestFit="1" customWidth="1"/>
    <col min="14103" max="14103" width="12.7109375" customWidth="1"/>
    <col min="14337" max="14337" width="13.7109375" customWidth="1"/>
    <col min="14338" max="14338" width="16.85546875" customWidth="1"/>
    <col min="14339" max="14339" width="14.85546875" bestFit="1" customWidth="1"/>
    <col min="14340" max="14340" width="11.140625" bestFit="1" customWidth="1"/>
    <col min="14341" max="14341" width="5.85546875" bestFit="1" customWidth="1"/>
    <col min="14342" max="14342" width="16.42578125" bestFit="1" customWidth="1"/>
    <col min="14343" max="14343" width="18.5703125" customWidth="1"/>
    <col min="14353" max="14353" width="13.7109375" customWidth="1"/>
    <col min="14354" max="14354" width="15.5703125" customWidth="1"/>
    <col min="14355" max="14355" width="14.42578125" bestFit="1" customWidth="1"/>
    <col min="14356" max="14356" width="10.85546875" bestFit="1" customWidth="1"/>
    <col min="14357" max="14357" width="10.42578125" customWidth="1"/>
    <col min="14358" max="14358" width="16.140625" bestFit="1" customWidth="1"/>
    <col min="14359" max="14359" width="12.7109375" customWidth="1"/>
    <col min="14593" max="14593" width="13.7109375" customWidth="1"/>
    <col min="14594" max="14594" width="16.85546875" customWidth="1"/>
    <col min="14595" max="14595" width="14.85546875" bestFit="1" customWidth="1"/>
    <col min="14596" max="14596" width="11.140625" bestFit="1" customWidth="1"/>
    <col min="14597" max="14597" width="5.85546875" bestFit="1" customWidth="1"/>
    <col min="14598" max="14598" width="16.42578125" bestFit="1" customWidth="1"/>
    <col min="14599" max="14599" width="18.5703125" customWidth="1"/>
    <col min="14609" max="14609" width="13.7109375" customWidth="1"/>
    <col min="14610" max="14610" width="15.5703125" customWidth="1"/>
    <col min="14611" max="14611" width="14.42578125" bestFit="1" customWidth="1"/>
    <col min="14612" max="14612" width="10.85546875" bestFit="1" customWidth="1"/>
    <col min="14613" max="14613" width="10.42578125" customWidth="1"/>
    <col min="14614" max="14614" width="16.140625" bestFit="1" customWidth="1"/>
    <col min="14615" max="14615" width="12.7109375" customWidth="1"/>
    <col min="14849" max="14849" width="13.7109375" customWidth="1"/>
    <col min="14850" max="14850" width="16.85546875" customWidth="1"/>
    <col min="14851" max="14851" width="14.85546875" bestFit="1" customWidth="1"/>
    <col min="14852" max="14852" width="11.140625" bestFit="1" customWidth="1"/>
    <col min="14853" max="14853" width="5.85546875" bestFit="1" customWidth="1"/>
    <col min="14854" max="14854" width="16.42578125" bestFit="1" customWidth="1"/>
    <col min="14855" max="14855" width="18.5703125" customWidth="1"/>
    <col min="14865" max="14865" width="13.7109375" customWidth="1"/>
    <col min="14866" max="14866" width="15.5703125" customWidth="1"/>
    <col min="14867" max="14867" width="14.42578125" bestFit="1" customWidth="1"/>
    <col min="14868" max="14868" width="10.85546875" bestFit="1" customWidth="1"/>
    <col min="14869" max="14869" width="10.42578125" customWidth="1"/>
    <col min="14870" max="14870" width="16.140625" bestFit="1" customWidth="1"/>
    <col min="14871" max="14871" width="12.7109375" customWidth="1"/>
    <col min="15105" max="15105" width="13.7109375" customWidth="1"/>
    <col min="15106" max="15106" width="16.85546875" customWidth="1"/>
    <col min="15107" max="15107" width="14.85546875" bestFit="1" customWidth="1"/>
    <col min="15108" max="15108" width="11.140625" bestFit="1" customWidth="1"/>
    <col min="15109" max="15109" width="5.85546875" bestFit="1" customWidth="1"/>
    <col min="15110" max="15110" width="16.42578125" bestFit="1" customWidth="1"/>
    <col min="15111" max="15111" width="18.5703125" customWidth="1"/>
    <col min="15121" max="15121" width="13.7109375" customWidth="1"/>
    <col min="15122" max="15122" width="15.5703125" customWidth="1"/>
    <col min="15123" max="15123" width="14.42578125" bestFit="1" customWidth="1"/>
    <col min="15124" max="15124" width="10.85546875" bestFit="1" customWidth="1"/>
    <col min="15125" max="15125" width="10.42578125" customWidth="1"/>
    <col min="15126" max="15126" width="16.140625" bestFit="1" customWidth="1"/>
    <col min="15127" max="15127" width="12.7109375" customWidth="1"/>
    <col min="15361" max="15361" width="13.7109375" customWidth="1"/>
    <col min="15362" max="15362" width="16.85546875" customWidth="1"/>
    <col min="15363" max="15363" width="14.85546875" bestFit="1" customWidth="1"/>
    <col min="15364" max="15364" width="11.140625" bestFit="1" customWidth="1"/>
    <col min="15365" max="15365" width="5.85546875" bestFit="1" customWidth="1"/>
    <col min="15366" max="15366" width="16.42578125" bestFit="1" customWidth="1"/>
    <col min="15367" max="15367" width="18.5703125" customWidth="1"/>
    <col min="15377" max="15377" width="13.7109375" customWidth="1"/>
    <col min="15378" max="15378" width="15.5703125" customWidth="1"/>
    <col min="15379" max="15379" width="14.42578125" bestFit="1" customWidth="1"/>
    <col min="15380" max="15380" width="10.85546875" bestFit="1" customWidth="1"/>
    <col min="15381" max="15381" width="10.42578125" customWidth="1"/>
    <col min="15382" max="15382" width="16.140625" bestFit="1" customWidth="1"/>
    <col min="15383" max="15383" width="12.7109375" customWidth="1"/>
    <col min="15617" max="15617" width="13.7109375" customWidth="1"/>
    <col min="15618" max="15618" width="16.85546875" customWidth="1"/>
    <col min="15619" max="15619" width="14.85546875" bestFit="1" customWidth="1"/>
    <col min="15620" max="15620" width="11.140625" bestFit="1" customWidth="1"/>
    <col min="15621" max="15621" width="5.85546875" bestFit="1" customWidth="1"/>
    <col min="15622" max="15622" width="16.42578125" bestFit="1" customWidth="1"/>
    <col min="15623" max="15623" width="18.5703125" customWidth="1"/>
    <col min="15633" max="15633" width="13.7109375" customWidth="1"/>
    <col min="15634" max="15634" width="15.5703125" customWidth="1"/>
    <col min="15635" max="15635" width="14.42578125" bestFit="1" customWidth="1"/>
    <col min="15636" max="15636" width="10.85546875" bestFit="1" customWidth="1"/>
    <col min="15637" max="15637" width="10.42578125" customWidth="1"/>
    <col min="15638" max="15638" width="16.140625" bestFit="1" customWidth="1"/>
    <col min="15639" max="15639" width="12.7109375" customWidth="1"/>
    <col min="15873" max="15873" width="13.7109375" customWidth="1"/>
    <col min="15874" max="15874" width="16.85546875" customWidth="1"/>
    <col min="15875" max="15875" width="14.85546875" bestFit="1" customWidth="1"/>
    <col min="15876" max="15876" width="11.140625" bestFit="1" customWidth="1"/>
    <col min="15877" max="15877" width="5.85546875" bestFit="1" customWidth="1"/>
    <col min="15878" max="15878" width="16.42578125" bestFit="1" customWidth="1"/>
    <col min="15879" max="15879" width="18.5703125" customWidth="1"/>
    <col min="15889" max="15889" width="13.7109375" customWidth="1"/>
    <col min="15890" max="15890" width="15.5703125" customWidth="1"/>
    <col min="15891" max="15891" width="14.42578125" bestFit="1" customWidth="1"/>
    <col min="15892" max="15892" width="10.85546875" bestFit="1" customWidth="1"/>
    <col min="15893" max="15893" width="10.42578125" customWidth="1"/>
    <col min="15894" max="15894" width="16.140625" bestFit="1" customWidth="1"/>
    <col min="15895" max="15895" width="12.7109375" customWidth="1"/>
    <col min="16129" max="16129" width="13.7109375" customWidth="1"/>
    <col min="16130" max="16130" width="16.85546875" customWidth="1"/>
    <col min="16131" max="16131" width="14.85546875" bestFit="1" customWidth="1"/>
    <col min="16132" max="16132" width="11.140625" bestFit="1" customWidth="1"/>
    <col min="16133" max="16133" width="5.85546875" bestFit="1" customWidth="1"/>
    <col min="16134" max="16134" width="16.42578125" bestFit="1" customWidth="1"/>
    <col min="16135" max="16135" width="18.5703125" customWidth="1"/>
    <col min="16145" max="16145" width="13.7109375" customWidth="1"/>
    <col min="16146" max="16146" width="15.5703125" customWidth="1"/>
    <col min="16147" max="16147" width="14.42578125" bestFit="1" customWidth="1"/>
    <col min="16148" max="16148" width="10.85546875" bestFit="1" customWidth="1"/>
    <col min="16149" max="16149" width="10.42578125" customWidth="1"/>
    <col min="16150" max="16150" width="16.140625" bestFit="1" customWidth="1"/>
    <col min="16151" max="16151" width="12.7109375" customWidth="1"/>
  </cols>
  <sheetData>
    <row r="1" spans="1:9">
      <c r="A1" s="605" t="s">
        <v>272</v>
      </c>
      <c r="B1" s="606"/>
      <c r="C1" s="606"/>
      <c r="D1" s="606"/>
      <c r="E1" s="606"/>
      <c r="F1" s="606"/>
      <c r="G1" s="607"/>
    </row>
    <row r="2" spans="1:9">
      <c r="A2" s="602"/>
      <c r="B2" s="603"/>
      <c r="C2" s="603"/>
      <c r="D2" s="603"/>
      <c r="E2" s="603"/>
      <c r="F2" s="603"/>
      <c r="G2" s="608"/>
    </row>
    <row r="3" spans="1:9">
      <c r="A3" s="609" t="s">
        <v>117</v>
      </c>
      <c r="B3" s="610"/>
      <c r="C3" s="42" t="s">
        <v>118</v>
      </c>
      <c r="D3" s="42" t="s">
        <v>119</v>
      </c>
      <c r="E3" s="1" t="s">
        <v>120</v>
      </c>
      <c r="F3" s="611" t="s">
        <v>121</v>
      </c>
      <c r="G3" s="612"/>
    </row>
    <row r="4" spans="1:9">
      <c r="A4" s="609"/>
      <c r="B4" s="610"/>
      <c r="C4" s="42" t="s">
        <v>122</v>
      </c>
      <c r="D4" s="42" t="s">
        <v>122</v>
      </c>
      <c r="E4" s="42" t="s">
        <v>123</v>
      </c>
      <c r="F4" s="611"/>
      <c r="G4" s="612"/>
    </row>
    <row r="5" spans="1:9">
      <c r="A5" s="602" t="s">
        <v>273</v>
      </c>
      <c r="B5" s="603"/>
      <c r="C5" s="603"/>
      <c r="D5" s="603"/>
      <c r="E5" s="603"/>
      <c r="F5" s="604"/>
      <c r="G5" s="203"/>
    </row>
    <row r="6" spans="1:9">
      <c r="A6" s="131" t="s">
        <v>124</v>
      </c>
      <c r="B6" s="42"/>
      <c r="C6" s="43">
        <f>(7*20)+2.3</f>
        <v>142.30000000000001</v>
      </c>
      <c r="D6" s="44">
        <v>0.1</v>
      </c>
      <c r="E6" s="44">
        <f>D6*C6*0.25</f>
        <v>3.5575000000000006</v>
      </c>
      <c r="F6" s="4" t="s">
        <v>125</v>
      </c>
      <c r="G6" s="210"/>
    </row>
    <row r="7" spans="1:9">
      <c r="A7" s="131" t="s">
        <v>124</v>
      </c>
      <c r="B7" s="42"/>
      <c r="C7" s="43">
        <v>30</v>
      </c>
      <c r="D7" s="44">
        <v>0.1</v>
      </c>
      <c r="E7" s="44">
        <f>D7*C7</f>
        <v>3</v>
      </c>
      <c r="F7" s="4" t="s">
        <v>126</v>
      </c>
      <c r="G7" s="210"/>
    </row>
    <row r="8" spans="1:9">
      <c r="A8" s="602" t="s">
        <v>274</v>
      </c>
      <c r="B8" s="603"/>
      <c r="C8" s="603"/>
      <c r="D8" s="603"/>
      <c r="E8" s="603"/>
      <c r="F8" s="604"/>
      <c r="G8" s="210"/>
    </row>
    <row r="9" spans="1:9">
      <c r="A9" s="131" t="s">
        <v>124</v>
      </c>
      <c r="B9" s="42"/>
      <c r="C9" s="43">
        <f>(5*20)+12.2</f>
        <v>112.2</v>
      </c>
      <c r="D9" s="44">
        <v>0.1</v>
      </c>
      <c r="E9" s="44">
        <f>D9*C9*0.25</f>
        <v>2.8050000000000002</v>
      </c>
      <c r="F9" s="4" t="s">
        <v>125</v>
      </c>
      <c r="G9" s="210"/>
    </row>
    <row r="10" spans="1:9">
      <c r="A10" s="131" t="s">
        <v>124</v>
      </c>
      <c r="B10" s="42"/>
      <c r="C10" s="43">
        <v>30</v>
      </c>
      <c r="D10" s="44">
        <v>0.1</v>
      </c>
      <c r="E10" s="44">
        <f>D10*C10</f>
        <v>3</v>
      </c>
      <c r="F10" s="4" t="s">
        <v>126</v>
      </c>
      <c r="G10" s="210"/>
    </row>
    <row r="11" spans="1:9">
      <c r="A11" s="602" t="s">
        <v>276</v>
      </c>
      <c r="B11" s="603"/>
      <c r="C11" s="603"/>
      <c r="D11" s="603"/>
      <c r="E11" s="603"/>
      <c r="F11" s="604"/>
      <c r="G11" s="210"/>
    </row>
    <row r="12" spans="1:9">
      <c r="A12" s="131" t="s">
        <v>124</v>
      </c>
      <c r="B12" s="42"/>
      <c r="C12" s="43">
        <f>(34*20)+10.28</f>
        <v>690.28</v>
      </c>
      <c r="D12" s="44">
        <v>0.1</v>
      </c>
      <c r="E12" s="44">
        <f>D12*C12*0.25</f>
        <v>17.257000000000001</v>
      </c>
      <c r="F12" s="4" t="s">
        <v>125</v>
      </c>
      <c r="G12" s="210"/>
    </row>
    <row r="13" spans="1:9">
      <c r="A13" s="131" t="s">
        <v>124</v>
      </c>
      <c r="B13" s="42"/>
      <c r="C13" s="43">
        <v>15</v>
      </c>
      <c r="D13" s="44">
        <v>0.1</v>
      </c>
      <c r="E13" s="44">
        <f>D13*C13</f>
        <v>1.5</v>
      </c>
      <c r="F13" s="4" t="s">
        <v>126</v>
      </c>
      <c r="G13" s="210"/>
    </row>
    <row r="14" spans="1:9">
      <c r="A14" s="192"/>
      <c r="B14" s="193"/>
      <c r="C14" s="194"/>
      <c r="D14" s="195"/>
      <c r="E14" s="195"/>
      <c r="F14" s="196"/>
      <c r="G14" s="209"/>
    </row>
    <row r="15" spans="1:9" ht="15.75">
      <c r="A15" s="613" t="s">
        <v>127</v>
      </c>
      <c r="B15" s="614"/>
      <c r="C15" s="614"/>
      <c r="D15" s="614"/>
      <c r="E15" s="614"/>
      <c r="F15" s="614"/>
      <c r="G15" s="615"/>
    </row>
    <row r="16" spans="1:9">
      <c r="A16" s="132" t="s">
        <v>162</v>
      </c>
      <c r="B16" s="42" t="s">
        <v>15</v>
      </c>
      <c r="C16" s="49">
        <f>C6+C9+C12</f>
        <v>944.78</v>
      </c>
      <c r="D16" s="204" t="s">
        <v>7</v>
      </c>
      <c r="E16" s="45" t="s">
        <v>120</v>
      </c>
      <c r="F16" s="49">
        <f>E6+E9+E12</f>
        <v>23.619500000000002</v>
      </c>
      <c r="G16" s="133" t="s">
        <v>6</v>
      </c>
      <c r="I16" s="50"/>
    </row>
    <row r="17" spans="1:7">
      <c r="A17" s="132" t="s">
        <v>126</v>
      </c>
      <c r="B17" s="42" t="s">
        <v>128</v>
      </c>
      <c r="C17" s="48">
        <f>C7+C10+C13</f>
        <v>75</v>
      </c>
      <c r="D17" s="205" t="s">
        <v>277</v>
      </c>
      <c r="E17" s="46" t="s">
        <v>120</v>
      </c>
      <c r="F17" s="49">
        <f>E7+E10+E13</f>
        <v>7.5</v>
      </c>
      <c r="G17" s="133" t="s">
        <v>6</v>
      </c>
    </row>
    <row r="18" spans="1:7">
      <c r="A18" s="616" t="s">
        <v>129</v>
      </c>
      <c r="B18" s="617"/>
      <c r="C18" s="48">
        <f>SUM(C16:C17)</f>
        <v>1019.78</v>
      </c>
      <c r="D18" s="205" t="s">
        <v>277</v>
      </c>
      <c r="E18" s="46"/>
      <c r="F18" s="49">
        <f>SUM(F16:F17)</f>
        <v>31.119500000000002</v>
      </c>
      <c r="G18" s="133" t="s">
        <v>6</v>
      </c>
    </row>
    <row r="19" spans="1:7">
      <c r="A19" s="132"/>
      <c r="B19" s="42"/>
      <c r="C19" s="46"/>
      <c r="D19" s="46"/>
      <c r="E19" s="46"/>
      <c r="F19" s="47"/>
      <c r="G19" s="134"/>
    </row>
    <row r="20" spans="1:7" ht="15.75">
      <c r="A20" s="618" t="s">
        <v>130</v>
      </c>
      <c r="B20" s="619"/>
      <c r="C20" s="619"/>
      <c r="D20" s="619"/>
      <c r="E20" s="46"/>
      <c r="F20" s="46"/>
      <c r="G20" s="135"/>
    </row>
    <row r="21" spans="1:7">
      <c r="A21" s="600" t="s">
        <v>131</v>
      </c>
      <c r="B21" s="601"/>
      <c r="C21" s="150">
        <f>C16*2*0.1</f>
        <v>188.95600000000002</v>
      </c>
      <c r="D21" s="208" t="s">
        <v>6</v>
      </c>
      <c r="E21" s="46"/>
      <c r="F21" s="46"/>
      <c r="G21" s="136"/>
    </row>
    <row r="22" spans="1:7">
      <c r="A22" s="600" t="s">
        <v>170</v>
      </c>
      <c r="B22" s="601"/>
      <c r="C22" s="150">
        <f>(4*0.4)*18</f>
        <v>28.8</v>
      </c>
      <c r="D22" s="208" t="s">
        <v>6</v>
      </c>
      <c r="E22" s="46"/>
      <c r="F22" s="46"/>
      <c r="G22" s="135"/>
    </row>
    <row r="23" spans="1:7">
      <c r="A23" s="600" t="s">
        <v>132</v>
      </c>
      <c r="B23" s="601"/>
      <c r="C23" s="151">
        <f>F16</f>
        <v>23.619500000000002</v>
      </c>
      <c r="D23" s="208" t="s">
        <v>6</v>
      </c>
      <c r="E23" s="46"/>
      <c r="F23" s="46"/>
      <c r="G23" s="135"/>
    </row>
    <row r="24" spans="1:7">
      <c r="A24" s="207" t="s">
        <v>133</v>
      </c>
      <c r="B24" s="208"/>
      <c r="C24" s="150">
        <f>F17</f>
        <v>7.5</v>
      </c>
      <c r="D24" s="208" t="s">
        <v>6</v>
      </c>
      <c r="E24" s="46"/>
      <c r="F24" s="46"/>
      <c r="G24" s="135"/>
    </row>
    <row r="25" spans="1:7">
      <c r="A25" s="207" t="s">
        <v>134</v>
      </c>
      <c r="B25" s="208"/>
      <c r="C25" s="150">
        <f>C21+C22+C23+C24</f>
        <v>248.87550000000005</v>
      </c>
      <c r="D25" s="208" t="s">
        <v>6</v>
      </c>
      <c r="E25" s="42"/>
      <c r="F25" s="42"/>
      <c r="G25" s="135"/>
    </row>
    <row r="26" spans="1:7" ht="13.5" thickBot="1">
      <c r="A26" s="152" t="s">
        <v>265</v>
      </c>
      <c r="B26" s="153"/>
      <c r="C26" s="154">
        <f>3.89*9</f>
        <v>35.01</v>
      </c>
      <c r="D26" s="155" t="s">
        <v>6</v>
      </c>
      <c r="E26" s="153"/>
      <c r="F26" s="153"/>
      <c r="G26" s="156"/>
    </row>
  </sheetData>
  <mergeCells count="14">
    <mergeCell ref="A23:B23"/>
    <mergeCell ref="A5:F5"/>
    <mergeCell ref="A8:F8"/>
    <mergeCell ref="A11:F11"/>
    <mergeCell ref="A1:G1"/>
    <mergeCell ref="A2:G2"/>
    <mergeCell ref="A3:B4"/>
    <mergeCell ref="F3:F4"/>
    <mergeCell ref="G3:G4"/>
    <mergeCell ref="A15:G15"/>
    <mergeCell ref="A18:B18"/>
    <mergeCell ref="A20:D20"/>
    <mergeCell ref="A21:B21"/>
    <mergeCell ref="A22:B2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1"/>
  <sheetViews>
    <sheetView topLeftCell="A10" zoomScale="60" zoomScaleNormal="60" workbookViewId="0">
      <selection activeCell="A26" sqref="A26:F27"/>
    </sheetView>
  </sheetViews>
  <sheetFormatPr defaultRowHeight="12.75"/>
  <cols>
    <col min="1" max="1" width="82.5703125" customWidth="1"/>
    <col min="2" max="2" width="19.7109375" bestFit="1" customWidth="1"/>
    <col min="3" max="3" width="14.28515625" customWidth="1"/>
    <col min="4" max="4" width="16.5703125" bestFit="1" customWidth="1"/>
    <col min="5" max="5" width="13.7109375" bestFit="1" customWidth="1"/>
    <col min="6" max="6" width="19.85546875" bestFit="1" customWidth="1"/>
    <col min="7" max="7" width="40.28515625" customWidth="1"/>
    <col min="8" max="8" width="25.7109375" customWidth="1"/>
    <col min="9" max="9" width="15.7109375" customWidth="1"/>
    <col min="10" max="10" width="18.7109375" customWidth="1"/>
    <col min="11" max="11" width="27.42578125" customWidth="1"/>
    <col min="12" max="12" width="14.42578125" bestFit="1" customWidth="1"/>
    <col min="257" max="257" width="82.5703125" customWidth="1"/>
    <col min="258" max="258" width="19.7109375" bestFit="1" customWidth="1"/>
    <col min="259" max="259" width="14.28515625" customWidth="1"/>
    <col min="260" max="260" width="16.5703125" bestFit="1" customWidth="1"/>
    <col min="261" max="261" width="13.7109375" bestFit="1" customWidth="1"/>
    <col min="262" max="262" width="19.85546875" bestFit="1" customWidth="1"/>
    <col min="263" max="263" width="40.28515625" customWidth="1"/>
    <col min="264" max="264" width="25.7109375" customWidth="1"/>
    <col min="265" max="265" width="15.7109375" customWidth="1"/>
    <col min="266" max="266" width="18.7109375" customWidth="1"/>
    <col min="267" max="267" width="27.42578125" customWidth="1"/>
    <col min="268" max="268" width="14.42578125" bestFit="1" customWidth="1"/>
    <col min="513" max="513" width="82.5703125" customWidth="1"/>
    <col min="514" max="514" width="19.7109375" bestFit="1" customWidth="1"/>
    <col min="515" max="515" width="14.28515625" customWidth="1"/>
    <col min="516" max="516" width="16.5703125" bestFit="1" customWidth="1"/>
    <col min="517" max="517" width="13.7109375" bestFit="1" customWidth="1"/>
    <col min="518" max="518" width="19.85546875" bestFit="1" customWidth="1"/>
    <col min="519" max="519" width="40.28515625" customWidth="1"/>
    <col min="520" max="520" width="25.7109375" customWidth="1"/>
    <col min="521" max="521" width="15.7109375" customWidth="1"/>
    <col min="522" max="522" width="18.7109375" customWidth="1"/>
    <col min="523" max="523" width="27.42578125" customWidth="1"/>
    <col min="524" max="524" width="14.42578125" bestFit="1" customWidth="1"/>
    <col min="769" max="769" width="82.5703125" customWidth="1"/>
    <col min="770" max="770" width="19.7109375" bestFit="1" customWidth="1"/>
    <col min="771" max="771" width="14.28515625" customWidth="1"/>
    <col min="772" max="772" width="16.5703125" bestFit="1" customWidth="1"/>
    <col min="773" max="773" width="13.7109375" bestFit="1" customWidth="1"/>
    <col min="774" max="774" width="19.85546875" bestFit="1" customWidth="1"/>
    <col min="775" max="775" width="40.28515625" customWidth="1"/>
    <col min="776" max="776" width="25.7109375" customWidth="1"/>
    <col min="777" max="777" width="15.7109375" customWidth="1"/>
    <col min="778" max="778" width="18.7109375" customWidth="1"/>
    <col min="779" max="779" width="27.42578125" customWidth="1"/>
    <col min="780" max="780" width="14.42578125" bestFit="1" customWidth="1"/>
    <col min="1025" max="1025" width="82.5703125" customWidth="1"/>
    <col min="1026" max="1026" width="19.7109375" bestFit="1" customWidth="1"/>
    <col min="1027" max="1027" width="14.28515625" customWidth="1"/>
    <col min="1028" max="1028" width="16.5703125" bestFit="1" customWidth="1"/>
    <col min="1029" max="1029" width="13.7109375" bestFit="1" customWidth="1"/>
    <col min="1030" max="1030" width="19.85546875" bestFit="1" customWidth="1"/>
    <col min="1031" max="1031" width="40.28515625" customWidth="1"/>
    <col min="1032" max="1032" width="25.7109375" customWidth="1"/>
    <col min="1033" max="1033" width="15.7109375" customWidth="1"/>
    <col min="1034" max="1034" width="18.7109375" customWidth="1"/>
    <col min="1035" max="1035" width="27.42578125" customWidth="1"/>
    <col min="1036" max="1036" width="14.42578125" bestFit="1" customWidth="1"/>
    <col min="1281" max="1281" width="82.5703125" customWidth="1"/>
    <col min="1282" max="1282" width="19.7109375" bestFit="1" customWidth="1"/>
    <col min="1283" max="1283" width="14.28515625" customWidth="1"/>
    <col min="1284" max="1284" width="16.5703125" bestFit="1" customWidth="1"/>
    <col min="1285" max="1285" width="13.7109375" bestFit="1" customWidth="1"/>
    <col min="1286" max="1286" width="19.85546875" bestFit="1" customWidth="1"/>
    <col min="1287" max="1287" width="40.28515625" customWidth="1"/>
    <col min="1288" max="1288" width="25.7109375" customWidth="1"/>
    <col min="1289" max="1289" width="15.7109375" customWidth="1"/>
    <col min="1290" max="1290" width="18.7109375" customWidth="1"/>
    <col min="1291" max="1291" width="27.42578125" customWidth="1"/>
    <col min="1292" max="1292" width="14.42578125" bestFit="1" customWidth="1"/>
    <col min="1537" max="1537" width="82.5703125" customWidth="1"/>
    <col min="1538" max="1538" width="19.7109375" bestFit="1" customWidth="1"/>
    <col min="1539" max="1539" width="14.28515625" customWidth="1"/>
    <col min="1540" max="1540" width="16.5703125" bestFit="1" customWidth="1"/>
    <col min="1541" max="1541" width="13.7109375" bestFit="1" customWidth="1"/>
    <col min="1542" max="1542" width="19.85546875" bestFit="1" customWidth="1"/>
    <col min="1543" max="1543" width="40.28515625" customWidth="1"/>
    <col min="1544" max="1544" width="25.7109375" customWidth="1"/>
    <col min="1545" max="1545" width="15.7109375" customWidth="1"/>
    <col min="1546" max="1546" width="18.7109375" customWidth="1"/>
    <col min="1547" max="1547" width="27.42578125" customWidth="1"/>
    <col min="1548" max="1548" width="14.42578125" bestFit="1" customWidth="1"/>
    <col min="1793" max="1793" width="82.5703125" customWidth="1"/>
    <col min="1794" max="1794" width="19.7109375" bestFit="1" customWidth="1"/>
    <col min="1795" max="1795" width="14.28515625" customWidth="1"/>
    <col min="1796" max="1796" width="16.5703125" bestFit="1" customWidth="1"/>
    <col min="1797" max="1797" width="13.7109375" bestFit="1" customWidth="1"/>
    <col min="1798" max="1798" width="19.85546875" bestFit="1" customWidth="1"/>
    <col min="1799" max="1799" width="40.28515625" customWidth="1"/>
    <col min="1800" max="1800" width="25.7109375" customWidth="1"/>
    <col min="1801" max="1801" width="15.7109375" customWidth="1"/>
    <col min="1802" max="1802" width="18.7109375" customWidth="1"/>
    <col min="1803" max="1803" width="27.42578125" customWidth="1"/>
    <col min="1804" max="1804" width="14.42578125" bestFit="1" customWidth="1"/>
    <col min="2049" max="2049" width="82.5703125" customWidth="1"/>
    <col min="2050" max="2050" width="19.7109375" bestFit="1" customWidth="1"/>
    <col min="2051" max="2051" width="14.28515625" customWidth="1"/>
    <col min="2052" max="2052" width="16.5703125" bestFit="1" customWidth="1"/>
    <col min="2053" max="2053" width="13.7109375" bestFit="1" customWidth="1"/>
    <col min="2054" max="2054" width="19.85546875" bestFit="1" customWidth="1"/>
    <col min="2055" max="2055" width="40.28515625" customWidth="1"/>
    <col min="2056" max="2056" width="25.7109375" customWidth="1"/>
    <col min="2057" max="2057" width="15.7109375" customWidth="1"/>
    <col min="2058" max="2058" width="18.7109375" customWidth="1"/>
    <col min="2059" max="2059" width="27.42578125" customWidth="1"/>
    <col min="2060" max="2060" width="14.42578125" bestFit="1" customWidth="1"/>
    <col min="2305" max="2305" width="82.5703125" customWidth="1"/>
    <col min="2306" max="2306" width="19.7109375" bestFit="1" customWidth="1"/>
    <col min="2307" max="2307" width="14.28515625" customWidth="1"/>
    <col min="2308" max="2308" width="16.5703125" bestFit="1" customWidth="1"/>
    <col min="2309" max="2309" width="13.7109375" bestFit="1" customWidth="1"/>
    <col min="2310" max="2310" width="19.85546875" bestFit="1" customWidth="1"/>
    <col min="2311" max="2311" width="40.28515625" customWidth="1"/>
    <col min="2312" max="2312" width="25.7109375" customWidth="1"/>
    <col min="2313" max="2313" width="15.7109375" customWidth="1"/>
    <col min="2314" max="2314" width="18.7109375" customWidth="1"/>
    <col min="2315" max="2315" width="27.42578125" customWidth="1"/>
    <col min="2316" max="2316" width="14.42578125" bestFit="1" customWidth="1"/>
    <col min="2561" max="2561" width="82.5703125" customWidth="1"/>
    <col min="2562" max="2562" width="19.7109375" bestFit="1" customWidth="1"/>
    <col min="2563" max="2563" width="14.28515625" customWidth="1"/>
    <col min="2564" max="2564" width="16.5703125" bestFit="1" customWidth="1"/>
    <col min="2565" max="2565" width="13.7109375" bestFit="1" customWidth="1"/>
    <col min="2566" max="2566" width="19.85546875" bestFit="1" customWidth="1"/>
    <col min="2567" max="2567" width="40.28515625" customWidth="1"/>
    <col min="2568" max="2568" width="25.7109375" customWidth="1"/>
    <col min="2569" max="2569" width="15.7109375" customWidth="1"/>
    <col min="2570" max="2570" width="18.7109375" customWidth="1"/>
    <col min="2571" max="2571" width="27.42578125" customWidth="1"/>
    <col min="2572" max="2572" width="14.42578125" bestFit="1" customWidth="1"/>
    <col min="2817" max="2817" width="82.5703125" customWidth="1"/>
    <col min="2818" max="2818" width="19.7109375" bestFit="1" customWidth="1"/>
    <col min="2819" max="2819" width="14.28515625" customWidth="1"/>
    <col min="2820" max="2820" width="16.5703125" bestFit="1" customWidth="1"/>
    <col min="2821" max="2821" width="13.7109375" bestFit="1" customWidth="1"/>
    <col min="2822" max="2822" width="19.85546875" bestFit="1" customWidth="1"/>
    <col min="2823" max="2823" width="40.28515625" customWidth="1"/>
    <col min="2824" max="2824" width="25.7109375" customWidth="1"/>
    <col min="2825" max="2825" width="15.7109375" customWidth="1"/>
    <col min="2826" max="2826" width="18.7109375" customWidth="1"/>
    <col min="2827" max="2827" width="27.42578125" customWidth="1"/>
    <col min="2828" max="2828" width="14.42578125" bestFit="1" customWidth="1"/>
    <col min="3073" max="3073" width="82.5703125" customWidth="1"/>
    <col min="3074" max="3074" width="19.7109375" bestFit="1" customWidth="1"/>
    <col min="3075" max="3075" width="14.28515625" customWidth="1"/>
    <col min="3076" max="3076" width="16.5703125" bestFit="1" customWidth="1"/>
    <col min="3077" max="3077" width="13.7109375" bestFit="1" customWidth="1"/>
    <col min="3078" max="3078" width="19.85546875" bestFit="1" customWidth="1"/>
    <col min="3079" max="3079" width="40.28515625" customWidth="1"/>
    <col min="3080" max="3080" width="25.7109375" customWidth="1"/>
    <col min="3081" max="3081" width="15.7109375" customWidth="1"/>
    <col min="3082" max="3082" width="18.7109375" customWidth="1"/>
    <col min="3083" max="3083" width="27.42578125" customWidth="1"/>
    <col min="3084" max="3084" width="14.42578125" bestFit="1" customWidth="1"/>
    <col min="3329" max="3329" width="82.5703125" customWidth="1"/>
    <col min="3330" max="3330" width="19.7109375" bestFit="1" customWidth="1"/>
    <col min="3331" max="3331" width="14.28515625" customWidth="1"/>
    <col min="3332" max="3332" width="16.5703125" bestFit="1" customWidth="1"/>
    <col min="3333" max="3333" width="13.7109375" bestFit="1" customWidth="1"/>
    <col min="3334" max="3334" width="19.85546875" bestFit="1" customWidth="1"/>
    <col min="3335" max="3335" width="40.28515625" customWidth="1"/>
    <col min="3336" max="3336" width="25.7109375" customWidth="1"/>
    <col min="3337" max="3337" width="15.7109375" customWidth="1"/>
    <col min="3338" max="3338" width="18.7109375" customWidth="1"/>
    <col min="3339" max="3339" width="27.42578125" customWidth="1"/>
    <col min="3340" max="3340" width="14.42578125" bestFit="1" customWidth="1"/>
    <col min="3585" max="3585" width="82.5703125" customWidth="1"/>
    <col min="3586" max="3586" width="19.7109375" bestFit="1" customWidth="1"/>
    <col min="3587" max="3587" width="14.28515625" customWidth="1"/>
    <col min="3588" max="3588" width="16.5703125" bestFit="1" customWidth="1"/>
    <col min="3589" max="3589" width="13.7109375" bestFit="1" customWidth="1"/>
    <col min="3590" max="3590" width="19.85546875" bestFit="1" customWidth="1"/>
    <col min="3591" max="3591" width="40.28515625" customWidth="1"/>
    <col min="3592" max="3592" width="25.7109375" customWidth="1"/>
    <col min="3593" max="3593" width="15.7109375" customWidth="1"/>
    <col min="3594" max="3594" width="18.7109375" customWidth="1"/>
    <col min="3595" max="3595" width="27.42578125" customWidth="1"/>
    <col min="3596" max="3596" width="14.42578125" bestFit="1" customWidth="1"/>
    <col min="3841" max="3841" width="82.5703125" customWidth="1"/>
    <col min="3842" max="3842" width="19.7109375" bestFit="1" customWidth="1"/>
    <col min="3843" max="3843" width="14.28515625" customWidth="1"/>
    <col min="3844" max="3844" width="16.5703125" bestFit="1" customWidth="1"/>
    <col min="3845" max="3845" width="13.7109375" bestFit="1" customWidth="1"/>
    <col min="3846" max="3846" width="19.85546875" bestFit="1" customWidth="1"/>
    <col min="3847" max="3847" width="40.28515625" customWidth="1"/>
    <col min="3848" max="3848" width="25.7109375" customWidth="1"/>
    <col min="3849" max="3849" width="15.7109375" customWidth="1"/>
    <col min="3850" max="3850" width="18.7109375" customWidth="1"/>
    <col min="3851" max="3851" width="27.42578125" customWidth="1"/>
    <col min="3852" max="3852" width="14.42578125" bestFit="1" customWidth="1"/>
    <col min="4097" max="4097" width="82.5703125" customWidth="1"/>
    <col min="4098" max="4098" width="19.7109375" bestFit="1" customWidth="1"/>
    <col min="4099" max="4099" width="14.28515625" customWidth="1"/>
    <col min="4100" max="4100" width="16.5703125" bestFit="1" customWidth="1"/>
    <col min="4101" max="4101" width="13.7109375" bestFit="1" customWidth="1"/>
    <col min="4102" max="4102" width="19.85546875" bestFit="1" customWidth="1"/>
    <col min="4103" max="4103" width="40.28515625" customWidth="1"/>
    <col min="4104" max="4104" width="25.7109375" customWidth="1"/>
    <col min="4105" max="4105" width="15.7109375" customWidth="1"/>
    <col min="4106" max="4106" width="18.7109375" customWidth="1"/>
    <col min="4107" max="4107" width="27.42578125" customWidth="1"/>
    <col min="4108" max="4108" width="14.42578125" bestFit="1" customWidth="1"/>
    <col min="4353" max="4353" width="82.5703125" customWidth="1"/>
    <col min="4354" max="4354" width="19.7109375" bestFit="1" customWidth="1"/>
    <col min="4355" max="4355" width="14.28515625" customWidth="1"/>
    <col min="4356" max="4356" width="16.5703125" bestFit="1" customWidth="1"/>
    <col min="4357" max="4357" width="13.7109375" bestFit="1" customWidth="1"/>
    <col min="4358" max="4358" width="19.85546875" bestFit="1" customWidth="1"/>
    <col min="4359" max="4359" width="40.28515625" customWidth="1"/>
    <col min="4360" max="4360" width="25.7109375" customWidth="1"/>
    <col min="4361" max="4361" width="15.7109375" customWidth="1"/>
    <col min="4362" max="4362" width="18.7109375" customWidth="1"/>
    <col min="4363" max="4363" width="27.42578125" customWidth="1"/>
    <col min="4364" max="4364" width="14.42578125" bestFit="1" customWidth="1"/>
    <col min="4609" max="4609" width="82.5703125" customWidth="1"/>
    <col min="4610" max="4610" width="19.7109375" bestFit="1" customWidth="1"/>
    <col min="4611" max="4611" width="14.28515625" customWidth="1"/>
    <col min="4612" max="4612" width="16.5703125" bestFit="1" customWidth="1"/>
    <col min="4613" max="4613" width="13.7109375" bestFit="1" customWidth="1"/>
    <col min="4614" max="4614" width="19.85546875" bestFit="1" customWidth="1"/>
    <col min="4615" max="4615" width="40.28515625" customWidth="1"/>
    <col min="4616" max="4616" width="25.7109375" customWidth="1"/>
    <col min="4617" max="4617" width="15.7109375" customWidth="1"/>
    <col min="4618" max="4618" width="18.7109375" customWidth="1"/>
    <col min="4619" max="4619" width="27.42578125" customWidth="1"/>
    <col min="4620" max="4620" width="14.42578125" bestFit="1" customWidth="1"/>
    <col min="4865" max="4865" width="82.5703125" customWidth="1"/>
    <col min="4866" max="4866" width="19.7109375" bestFit="1" customWidth="1"/>
    <col min="4867" max="4867" width="14.28515625" customWidth="1"/>
    <col min="4868" max="4868" width="16.5703125" bestFit="1" customWidth="1"/>
    <col min="4869" max="4869" width="13.7109375" bestFit="1" customWidth="1"/>
    <col min="4870" max="4870" width="19.85546875" bestFit="1" customWidth="1"/>
    <col min="4871" max="4871" width="40.28515625" customWidth="1"/>
    <col min="4872" max="4872" width="25.7109375" customWidth="1"/>
    <col min="4873" max="4873" width="15.7109375" customWidth="1"/>
    <col min="4874" max="4874" width="18.7109375" customWidth="1"/>
    <col min="4875" max="4875" width="27.42578125" customWidth="1"/>
    <col min="4876" max="4876" width="14.42578125" bestFit="1" customWidth="1"/>
    <col min="5121" max="5121" width="82.5703125" customWidth="1"/>
    <col min="5122" max="5122" width="19.7109375" bestFit="1" customWidth="1"/>
    <col min="5123" max="5123" width="14.28515625" customWidth="1"/>
    <col min="5124" max="5124" width="16.5703125" bestFit="1" customWidth="1"/>
    <col min="5125" max="5125" width="13.7109375" bestFit="1" customWidth="1"/>
    <col min="5126" max="5126" width="19.85546875" bestFit="1" customWidth="1"/>
    <col min="5127" max="5127" width="40.28515625" customWidth="1"/>
    <col min="5128" max="5128" width="25.7109375" customWidth="1"/>
    <col min="5129" max="5129" width="15.7109375" customWidth="1"/>
    <col min="5130" max="5130" width="18.7109375" customWidth="1"/>
    <col min="5131" max="5131" width="27.42578125" customWidth="1"/>
    <col min="5132" max="5132" width="14.42578125" bestFit="1" customWidth="1"/>
    <col min="5377" max="5377" width="82.5703125" customWidth="1"/>
    <col min="5378" max="5378" width="19.7109375" bestFit="1" customWidth="1"/>
    <col min="5379" max="5379" width="14.28515625" customWidth="1"/>
    <col min="5380" max="5380" width="16.5703125" bestFit="1" customWidth="1"/>
    <col min="5381" max="5381" width="13.7109375" bestFit="1" customWidth="1"/>
    <col min="5382" max="5382" width="19.85546875" bestFit="1" customWidth="1"/>
    <col min="5383" max="5383" width="40.28515625" customWidth="1"/>
    <col min="5384" max="5384" width="25.7109375" customWidth="1"/>
    <col min="5385" max="5385" width="15.7109375" customWidth="1"/>
    <col min="5386" max="5386" width="18.7109375" customWidth="1"/>
    <col min="5387" max="5387" width="27.42578125" customWidth="1"/>
    <col min="5388" max="5388" width="14.42578125" bestFit="1" customWidth="1"/>
    <col min="5633" max="5633" width="82.5703125" customWidth="1"/>
    <col min="5634" max="5634" width="19.7109375" bestFit="1" customWidth="1"/>
    <col min="5635" max="5635" width="14.28515625" customWidth="1"/>
    <col min="5636" max="5636" width="16.5703125" bestFit="1" customWidth="1"/>
    <col min="5637" max="5637" width="13.7109375" bestFit="1" customWidth="1"/>
    <col min="5638" max="5638" width="19.85546875" bestFit="1" customWidth="1"/>
    <col min="5639" max="5639" width="40.28515625" customWidth="1"/>
    <col min="5640" max="5640" width="25.7109375" customWidth="1"/>
    <col min="5641" max="5641" width="15.7109375" customWidth="1"/>
    <col min="5642" max="5642" width="18.7109375" customWidth="1"/>
    <col min="5643" max="5643" width="27.42578125" customWidth="1"/>
    <col min="5644" max="5644" width="14.42578125" bestFit="1" customWidth="1"/>
    <col min="5889" max="5889" width="82.5703125" customWidth="1"/>
    <col min="5890" max="5890" width="19.7109375" bestFit="1" customWidth="1"/>
    <col min="5891" max="5891" width="14.28515625" customWidth="1"/>
    <col min="5892" max="5892" width="16.5703125" bestFit="1" customWidth="1"/>
    <col min="5893" max="5893" width="13.7109375" bestFit="1" customWidth="1"/>
    <col min="5894" max="5894" width="19.85546875" bestFit="1" customWidth="1"/>
    <col min="5895" max="5895" width="40.28515625" customWidth="1"/>
    <col min="5896" max="5896" width="25.7109375" customWidth="1"/>
    <col min="5897" max="5897" width="15.7109375" customWidth="1"/>
    <col min="5898" max="5898" width="18.7109375" customWidth="1"/>
    <col min="5899" max="5899" width="27.42578125" customWidth="1"/>
    <col min="5900" max="5900" width="14.42578125" bestFit="1" customWidth="1"/>
    <col min="6145" max="6145" width="82.5703125" customWidth="1"/>
    <col min="6146" max="6146" width="19.7109375" bestFit="1" customWidth="1"/>
    <col min="6147" max="6147" width="14.28515625" customWidth="1"/>
    <col min="6148" max="6148" width="16.5703125" bestFit="1" customWidth="1"/>
    <col min="6149" max="6149" width="13.7109375" bestFit="1" customWidth="1"/>
    <col min="6150" max="6150" width="19.85546875" bestFit="1" customWidth="1"/>
    <col min="6151" max="6151" width="40.28515625" customWidth="1"/>
    <col min="6152" max="6152" width="25.7109375" customWidth="1"/>
    <col min="6153" max="6153" width="15.7109375" customWidth="1"/>
    <col min="6154" max="6154" width="18.7109375" customWidth="1"/>
    <col min="6155" max="6155" width="27.42578125" customWidth="1"/>
    <col min="6156" max="6156" width="14.42578125" bestFit="1" customWidth="1"/>
    <col min="6401" max="6401" width="82.5703125" customWidth="1"/>
    <col min="6402" max="6402" width="19.7109375" bestFit="1" customWidth="1"/>
    <col min="6403" max="6403" width="14.28515625" customWidth="1"/>
    <col min="6404" max="6404" width="16.5703125" bestFit="1" customWidth="1"/>
    <col min="6405" max="6405" width="13.7109375" bestFit="1" customWidth="1"/>
    <col min="6406" max="6406" width="19.85546875" bestFit="1" customWidth="1"/>
    <col min="6407" max="6407" width="40.28515625" customWidth="1"/>
    <col min="6408" max="6408" width="25.7109375" customWidth="1"/>
    <col min="6409" max="6409" width="15.7109375" customWidth="1"/>
    <col min="6410" max="6410" width="18.7109375" customWidth="1"/>
    <col min="6411" max="6411" width="27.42578125" customWidth="1"/>
    <col min="6412" max="6412" width="14.42578125" bestFit="1" customWidth="1"/>
    <col min="6657" max="6657" width="82.5703125" customWidth="1"/>
    <col min="6658" max="6658" width="19.7109375" bestFit="1" customWidth="1"/>
    <col min="6659" max="6659" width="14.28515625" customWidth="1"/>
    <col min="6660" max="6660" width="16.5703125" bestFit="1" customWidth="1"/>
    <col min="6661" max="6661" width="13.7109375" bestFit="1" customWidth="1"/>
    <col min="6662" max="6662" width="19.85546875" bestFit="1" customWidth="1"/>
    <col min="6663" max="6663" width="40.28515625" customWidth="1"/>
    <col min="6664" max="6664" width="25.7109375" customWidth="1"/>
    <col min="6665" max="6665" width="15.7109375" customWidth="1"/>
    <col min="6666" max="6666" width="18.7109375" customWidth="1"/>
    <col min="6667" max="6667" width="27.42578125" customWidth="1"/>
    <col min="6668" max="6668" width="14.42578125" bestFit="1" customWidth="1"/>
    <col min="6913" max="6913" width="82.5703125" customWidth="1"/>
    <col min="6914" max="6914" width="19.7109375" bestFit="1" customWidth="1"/>
    <col min="6915" max="6915" width="14.28515625" customWidth="1"/>
    <col min="6916" max="6916" width="16.5703125" bestFit="1" customWidth="1"/>
    <col min="6917" max="6917" width="13.7109375" bestFit="1" customWidth="1"/>
    <col min="6918" max="6918" width="19.85546875" bestFit="1" customWidth="1"/>
    <col min="6919" max="6919" width="40.28515625" customWidth="1"/>
    <col min="6920" max="6920" width="25.7109375" customWidth="1"/>
    <col min="6921" max="6921" width="15.7109375" customWidth="1"/>
    <col min="6922" max="6922" width="18.7109375" customWidth="1"/>
    <col min="6923" max="6923" width="27.42578125" customWidth="1"/>
    <col min="6924" max="6924" width="14.42578125" bestFit="1" customWidth="1"/>
    <col min="7169" max="7169" width="82.5703125" customWidth="1"/>
    <col min="7170" max="7170" width="19.7109375" bestFit="1" customWidth="1"/>
    <col min="7171" max="7171" width="14.28515625" customWidth="1"/>
    <col min="7172" max="7172" width="16.5703125" bestFit="1" customWidth="1"/>
    <col min="7173" max="7173" width="13.7109375" bestFit="1" customWidth="1"/>
    <col min="7174" max="7174" width="19.85546875" bestFit="1" customWidth="1"/>
    <col min="7175" max="7175" width="40.28515625" customWidth="1"/>
    <col min="7176" max="7176" width="25.7109375" customWidth="1"/>
    <col min="7177" max="7177" width="15.7109375" customWidth="1"/>
    <col min="7178" max="7178" width="18.7109375" customWidth="1"/>
    <col min="7179" max="7179" width="27.42578125" customWidth="1"/>
    <col min="7180" max="7180" width="14.42578125" bestFit="1" customWidth="1"/>
    <col min="7425" max="7425" width="82.5703125" customWidth="1"/>
    <col min="7426" max="7426" width="19.7109375" bestFit="1" customWidth="1"/>
    <col min="7427" max="7427" width="14.28515625" customWidth="1"/>
    <col min="7428" max="7428" width="16.5703125" bestFit="1" customWidth="1"/>
    <col min="7429" max="7429" width="13.7109375" bestFit="1" customWidth="1"/>
    <col min="7430" max="7430" width="19.85546875" bestFit="1" customWidth="1"/>
    <col min="7431" max="7431" width="40.28515625" customWidth="1"/>
    <col min="7432" max="7432" width="25.7109375" customWidth="1"/>
    <col min="7433" max="7433" width="15.7109375" customWidth="1"/>
    <col min="7434" max="7434" width="18.7109375" customWidth="1"/>
    <col min="7435" max="7435" width="27.42578125" customWidth="1"/>
    <col min="7436" max="7436" width="14.42578125" bestFit="1" customWidth="1"/>
    <col min="7681" max="7681" width="82.5703125" customWidth="1"/>
    <col min="7682" max="7682" width="19.7109375" bestFit="1" customWidth="1"/>
    <col min="7683" max="7683" width="14.28515625" customWidth="1"/>
    <col min="7684" max="7684" width="16.5703125" bestFit="1" customWidth="1"/>
    <col min="7685" max="7685" width="13.7109375" bestFit="1" customWidth="1"/>
    <col min="7686" max="7686" width="19.85546875" bestFit="1" customWidth="1"/>
    <col min="7687" max="7687" width="40.28515625" customWidth="1"/>
    <col min="7688" max="7688" width="25.7109375" customWidth="1"/>
    <col min="7689" max="7689" width="15.7109375" customWidth="1"/>
    <col min="7690" max="7690" width="18.7109375" customWidth="1"/>
    <col min="7691" max="7691" width="27.42578125" customWidth="1"/>
    <col min="7692" max="7692" width="14.42578125" bestFit="1" customWidth="1"/>
    <col min="7937" max="7937" width="82.5703125" customWidth="1"/>
    <col min="7938" max="7938" width="19.7109375" bestFit="1" customWidth="1"/>
    <col min="7939" max="7939" width="14.28515625" customWidth="1"/>
    <col min="7940" max="7940" width="16.5703125" bestFit="1" customWidth="1"/>
    <col min="7941" max="7941" width="13.7109375" bestFit="1" customWidth="1"/>
    <col min="7942" max="7942" width="19.85546875" bestFit="1" customWidth="1"/>
    <col min="7943" max="7943" width="40.28515625" customWidth="1"/>
    <col min="7944" max="7944" width="25.7109375" customWidth="1"/>
    <col min="7945" max="7945" width="15.7109375" customWidth="1"/>
    <col min="7946" max="7946" width="18.7109375" customWidth="1"/>
    <col min="7947" max="7947" width="27.42578125" customWidth="1"/>
    <col min="7948" max="7948" width="14.42578125" bestFit="1" customWidth="1"/>
    <col min="8193" max="8193" width="82.5703125" customWidth="1"/>
    <col min="8194" max="8194" width="19.7109375" bestFit="1" customWidth="1"/>
    <col min="8195" max="8195" width="14.28515625" customWidth="1"/>
    <col min="8196" max="8196" width="16.5703125" bestFit="1" customWidth="1"/>
    <col min="8197" max="8197" width="13.7109375" bestFit="1" customWidth="1"/>
    <col min="8198" max="8198" width="19.85546875" bestFit="1" customWidth="1"/>
    <col min="8199" max="8199" width="40.28515625" customWidth="1"/>
    <col min="8200" max="8200" width="25.7109375" customWidth="1"/>
    <col min="8201" max="8201" width="15.7109375" customWidth="1"/>
    <col min="8202" max="8202" width="18.7109375" customWidth="1"/>
    <col min="8203" max="8203" width="27.42578125" customWidth="1"/>
    <col min="8204" max="8204" width="14.42578125" bestFit="1" customWidth="1"/>
    <col min="8449" max="8449" width="82.5703125" customWidth="1"/>
    <col min="8450" max="8450" width="19.7109375" bestFit="1" customWidth="1"/>
    <col min="8451" max="8451" width="14.28515625" customWidth="1"/>
    <col min="8452" max="8452" width="16.5703125" bestFit="1" customWidth="1"/>
    <col min="8453" max="8453" width="13.7109375" bestFit="1" customWidth="1"/>
    <col min="8454" max="8454" width="19.85546875" bestFit="1" customWidth="1"/>
    <col min="8455" max="8455" width="40.28515625" customWidth="1"/>
    <col min="8456" max="8456" width="25.7109375" customWidth="1"/>
    <col min="8457" max="8457" width="15.7109375" customWidth="1"/>
    <col min="8458" max="8458" width="18.7109375" customWidth="1"/>
    <col min="8459" max="8459" width="27.42578125" customWidth="1"/>
    <col min="8460" max="8460" width="14.42578125" bestFit="1" customWidth="1"/>
    <col min="8705" max="8705" width="82.5703125" customWidth="1"/>
    <col min="8706" max="8706" width="19.7109375" bestFit="1" customWidth="1"/>
    <col min="8707" max="8707" width="14.28515625" customWidth="1"/>
    <col min="8708" max="8708" width="16.5703125" bestFit="1" customWidth="1"/>
    <col min="8709" max="8709" width="13.7109375" bestFit="1" customWidth="1"/>
    <col min="8710" max="8710" width="19.85546875" bestFit="1" customWidth="1"/>
    <col min="8711" max="8711" width="40.28515625" customWidth="1"/>
    <col min="8712" max="8712" width="25.7109375" customWidth="1"/>
    <col min="8713" max="8713" width="15.7109375" customWidth="1"/>
    <col min="8714" max="8714" width="18.7109375" customWidth="1"/>
    <col min="8715" max="8715" width="27.42578125" customWidth="1"/>
    <col min="8716" max="8716" width="14.42578125" bestFit="1" customWidth="1"/>
    <col min="8961" max="8961" width="82.5703125" customWidth="1"/>
    <col min="8962" max="8962" width="19.7109375" bestFit="1" customWidth="1"/>
    <col min="8963" max="8963" width="14.28515625" customWidth="1"/>
    <col min="8964" max="8964" width="16.5703125" bestFit="1" customWidth="1"/>
    <col min="8965" max="8965" width="13.7109375" bestFit="1" customWidth="1"/>
    <col min="8966" max="8966" width="19.85546875" bestFit="1" customWidth="1"/>
    <col min="8967" max="8967" width="40.28515625" customWidth="1"/>
    <col min="8968" max="8968" width="25.7109375" customWidth="1"/>
    <col min="8969" max="8969" width="15.7109375" customWidth="1"/>
    <col min="8970" max="8970" width="18.7109375" customWidth="1"/>
    <col min="8971" max="8971" width="27.42578125" customWidth="1"/>
    <col min="8972" max="8972" width="14.42578125" bestFit="1" customWidth="1"/>
    <col min="9217" max="9217" width="82.5703125" customWidth="1"/>
    <col min="9218" max="9218" width="19.7109375" bestFit="1" customWidth="1"/>
    <col min="9219" max="9219" width="14.28515625" customWidth="1"/>
    <col min="9220" max="9220" width="16.5703125" bestFit="1" customWidth="1"/>
    <col min="9221" max="9221" width="13.7109375" bestFit="1" customWidth="1"/>
    <col min="9222" max="9222" width="19.85546875" bestFit="1" customWidth="1"/>
    <col min="9223" max="9223" width="40.28515625" customWidth="1"/>
    <col min="9224" max="9224" width="25.7109375" customWidth="1"/>
    <col min="9225" max="9225" width="15.7109375" customWidth="1"/>
    <col min="9226" max="9226" width="18.7109375" customWidth="1"/>
    <col min="9227" max="9227" width="27.42578125" customWidth="1"/>
    <col min="9228" max="9228" width="14.42578125" bestFit="1" customWidth="1"/>
    <col min="9473" max="9473" width="82.5703125" customWidth="1"/>
    <col min="9474" max="9474" width="19.7109375" bestFit="1" customWidth="1"/>
    <col min="9475" max="9475" width="14.28515625" customWidth="1"/>
    <col min="9476" max="9476" width="16.5703125" bestFit="1" customWidth="1"/>
    <col min="9477" max="9477" width="13.7109375" bestFit="1" customWidth="1"/>
    <col min="9478" max="9478" width="19.85546875" bestFit="1" customWidth="1"/>
    <col min="9479" max="9479" width="40.28515625" customWidth="1"/>
    <col min="9480" max="9480" width="25.7109375" customWidth="1"/>
    <col min="9481" max="9481" width="15.7109375" customWidth="1"/>
    <col min="9482" max="9482" width="18.7109375" customWidth="1"/>
    <col min="9483" max="9483" width="27.42578125" customWidth="1"/>
    <col min="9484" max="9484" width="14.42578125" bestFit="1" customWidth="1"/>
    <col min="9729" max="9729" width="82.5703125" customWidth="1"/>
    <col min="9730" max="9730" width="19.7109375" bestFit="1" customWidth="1"/>
    <col min="9731" max="9731" width="14.28515625" customWidth="1"/>
    <col min="9732" max="9732" width="16.5703125" bestFit="1" customWidth="1"/>
    <col min="9733" max="9733" width="13.7109375" bestFit="1" customWidth="1"/>
    <col min="9734" max="9734" width="19.85546875" bestFit="1" customWidth="1"/>
    <col min="9735" max="9735" width="40.28515625" customWidth="1"/>
    <col min="9736" max="9736" width="25.7109375" customWidth="1"/>
    <col min="9737" max="9737" width="15.7109375" customWidth="1"/>
    <col min="9738" max="9738" width="18.7109375" customWidth="1"/>
    <col min="9739" max="9739" width="27.42578125" customWidth="1"/>
    <col min="9740" max="9740" width="14.42578125" bestFit="1" customWidth="1"/>
    <col min="9985" max="9985" width="82.5703125" customWidth="1"/>
    <col min="9986" max="9986" width="19.7109375" bestFit="1" customWidth="1"/>
    <col min="9987" max="9987" width="14.28515625" customWidth="1"/>
    <col min="9988" max="9988" width="16.5703125" bestFit="1" customWidth="1"/>
    <col min="9989" max="9989" width="13.7109375" bestFit="1" customWidth="1"/>
    <col min="9990" max="9990" width="19.85546875" bestFit="1" customWidth="1"/>
    <col min="9991" max="9991" width="40.28515625" customWidth="1"/>
    <col min="9992" max="9992" width="25.7109375" customWidth="1"/>
    <col min="9993" max="9993" width="15.7109375" customWidth="1"/>
    <col min="9994" max="9994" width="18.7109375" customWidth="1"/>
    <col min="9995" max="9995" width="27.42578125" customWidth="1"/>
    <col min="9996" max="9996" width="14.42578125" bestFit="1" customWidth="1"/>
    <col min="10241" max="10241" width="82.5703125" customWidth="1"/>
    <col min="10242" max="10242" width="19.7109375" bestFit="1" customWidth="1"/>
    <col min="10243" max="10243" width="14.28515625" customWidth="1"/>
    <col min="10244" max="10244" width="16.5703125" bestFit="1" customWidth="1"/>
    <col min="10245" max="10245" width="13.7109375" bestFit="1" customWidth="1"/>
    <col min="10246" max="10246" width="19.85546875" bestFit="1" customWidth="1"/>
    <col min="10247" max="10247" width="40.28515625" customWidth="1"/>
    <col min="10248" max="10248" width="25.7109375" customWidth="1"/>
    <col min="10249" max="10249" width="15.7109375" customWidth="1"/>
    <col min="10250" max="10250" width="18.7109375" customWidth="1"/>
    <col min="10251" max="10251" width="27.42578125" customWidth="1"/>
    <col min="10252" max="10252" width="14.42578125" bestFit="1" customWidth="1"/>
    <col min="10497" max="10497" width="82.5703125" customWidth="1"/>
    <col min="10498" max="10498" width="19.7109375" bestFit="1" customWidth="1"/>
    <col min="10499" max="10499" width="14.28515625" customWidth="1"/>
    <col min="10500" max="10500" width="16.5703125" bestFit="1" customWidth="1"/>
    <col min="10501" max="10501" width="13.7109375" bestFit="1" customWidth="1"/>
    <col min="10502" max="10502" width="19.85546875" bestFit="1" customWidth="1"/>
    <col min="10503" max="10503" width="40.28515625" customWidth="1"/>
    <col min="10504" max="10504" width="25.7109375" customWidth="1"/>
    <col min="10505" max="10505" width="15.7109375" customWidth="1"/>
    <col min="10506" max="10506" width="18.7109375" customWidth="1"/>
    <col min="10507" max="10507" width="27.42578125" customWidth="1"/>
    <col min="10508" max="10508" width="14.42578125" bestFit="1" customWidth="1"/>
    <col min="10753" max="10753" width="82.5703125" customWidth="1"/>
    <col min="10754" max="10754" width="19.7109375" bestFit="1" customWidth="1"/>
    <col min="10755" max="10755" width="14.28515625" customWidth="1"/>
    <col min="10756" max="10756" width="16.5703125" bestFit="1" customWidth="1"/>
    <col min="10757" max="10757" width="13.7109375" bestFit="1" customWidth="1"/>
    <col min="10758" max="10758" width="19.85546875" bestFit="1" customWidth="1"/>
    <col min="10759" max="10759" width="40.28515625" customWidth="1"/>
    <col min="10760" max="10760" width="25.7109375" customWidth="1"/>
    <col min="10761" max="10761" width="15.7109375" customWidth="1"/>
    <col min="10762" max="10762" width="18.7109375" customWidth="1"/>
    <col min="10763" max="10763" width="27.42578125" customWidth="1"/>
    <col min="10764" max="10764" width="14.42578125" bestFit="1" customWidth="1"/>
    <col min="11009" max="11009" width="82.5703125" customWidth="1"/>
    <col min="11010" max="11010" width="19.7109375" bestFit="1" customWidth="1"/>
    <col min="11011" max="11011" width="14.28515625" customWidth="1"/>
    <col min="11012" max="11012" width="16.5703125" bestFit="1" customWidth="1"/>
    <col min="11013" max="11013" width="13.7109375" bestFit="1" customWidth="1"/>
    <col min="11014" max="11014" width="19.85546875" bestFit="1" customWidth="1"/>
    <col min="11015" max="11015" width="40.28515625" customWidth="1"/>
    <col min="11016" max="11016" width="25.7109375" customWidth="1"/>
    <col min="11017" max="11017" width="15.7109375" customWidth="1"/>
    <col min="11018" max="11018" width="18.7109375" customWidth="1"/>
    <col min="11019" max="11019" width="27.42578125" customWidth="1"/>
    <col min="11020" max="11020" width="14.42578125" bestFit="1" customWidth="1"/>
    <col min="11265" max="11265" width="82.5703125" customWidth="1"/>
    <col min="11266" max="11266" width="19.7109375" bestFit="1" customWidth="1"/>
    <col min="11267" max="11267" width="14.28515625" customWidth="1"/>
    <col min="11268" max="11268" width="16.5703125" bestFit="1" customWidth="1"/>
    <col min="11269" max="11269" width="13.7109375" bestFit="1" customWidth="1"/>
    <col min="11270" max="11270" width="19.85546875" bestFit="1" customWidth="1"/>
    <col min="11271" max="11271" width="40.28515625" customWidth="1"/>
    <col min="11272" max="11272" width="25.7109375" customWidth="1"/>
    <col min="11273" max="11273" width="15.7109375" customWidth="1"/>
    <col min="11274" max="11274" width="18.7109375" customWidth="1"/>
    <col min="11275" max="11275" width="27.42578125" customWidth="1"/>
    <col min="11276" max="11276" width="14.42578125" bestFit="1" customWidth="1"/>
    <col min="11521" max="11521" width="82.5703125" customWidth="1"/>
    <col min="11522" max="11522" width="19.7109375" bestFit="1" customWidth="1"/>
    <col min="11523" max="11523" width="14.28515625" customWidth="1"/>
    <col min="11524" max="11524" width="16.5703125" bestFit="1" customWidth="1"/>
    <col min="11525" max="11525" width="13.7109375" bestFit="1" customWidth="1"/>
    <col min="11526" max="11526" width="19.85546875" bestFit="1" customWidth="1"/>
    <col min="11527" max="11527" width="40.28515625" customWidth="1"/>
    <col min="11528" max="11528" width="25.7109375" customWidth="1"/>
    <col min="11529" max="11529" width="15.7109375" customWidth="1"/>
    <col min="11530" max="11530" width="18.7109375" customWidth="1"/>
    <col min="11531" max="11531" width="27.42578125" customWidth="1"/>
    <col min="11532" max="11532" width="14.42578125" bestFit="1" customWidth="1"/>
    <col min="11777" max="11777" width="82.5703125" customWidth="1"/>
    <col min="11778" max="11778" width="19.7109375" bestFit="1" customWidth="1"/>
    <col min="11779" max="11779" width="14.28515625" customWidth="1"/>
    <col min="11780" max="11780" width="16.5703125" bestFit="1" customWidth="1"/>
    <col min="11781" max="11781" width="13.7109375" bestFit="1" customWidth="1"/>
    <col min="11782" max="11782" width="19.85546875" bestFit="1" customWidth="1"/>
    <col min="11783" max="11783" width="40.28515625" customWidth="1"/>
    <col min="11784" max="11784" width="25.7109375" customWidth="1"/>
    <col min="11785" max="11785" width="15.7109375" customWidth="1"/>
    <col min="11786" max="11786" width="18.7109375" customWidth="1"/>
    <col min="11787" max="11787" width="27.42578125" customWidth="1"/>
    <col min="11788" max="11788" width="14.42578125" bestFit="1" customWidth="1"/>
    <col min="12033" max="12033" width="82.5703125" customWidth="1"/>
    <col min="12034" max="12034" width="19.7109375" bestFit="1" customWidth="1"/>
    <col min="12035" max="12035" width="14.28515625" customWidth="1"/>
    <col min="12036" max="12036" width="16.5703125" bestFit="1" customWidth="1"/>
    <col min="12037" max="12037" width="13.7109375" bestFit="1" customWidth="1"/>
    <col min="12038" max="12038" width="19.85546875" bestFit="1" customWidth="1"/>
    <col min="12039" max="12039" width="40.28515625" customWidth="1"/>
    <col min="12040" max="12040" width="25.7109375" customWidth="1"/>
    <col min="12041" max="12041" width="15.7109375" customWidth="1"/>
    <col min="12042" max="12042" width="18.7109375" customWidth="1"/>
    <col min="12043" max="12043" width="27.42578125" customWidth="1"/>
    <col min="12044" max="12044" width="14.42578125" bestFit="1" customWidth="1"/>
    <col min="12289" max="12289" width="82.5703125" customWidth="1"/>
    <col min="12290" max="12290" width="19.7109375" bestFit="1" customWidth="1"/>
    <col min="12291" max="12291" width="14.28515625" customWidth="1"/>
    <col min="12292" max="12292" width="16.5703125" bestFit="1" customWidth="1"/>
    <col min="12293" max="12293" width="13.7109375" bestFit="1" customWidth="1"/>
    <col min="12294" max="12294" width="19.85546875" bestFit="1" customWidth="1"/>
    <col min="12295" max="12295" width="40.28515625" customWidth="1"/>
    <col min="12296" max="12296" width="25.7109375" customWidth="1"/>
    <col min="12297" max="12297" width="15.7109375" customWidth="1"/>
    <col min="12298" max="12298" width="18.7109375" customWidth="1"/>
    <col min="12299" max="12299" width="27.42578125" customWidth="1"/>
    <col min="12300" max="12300" width="14.42578125" bestFit="1" customWidth="1"/>
    <col min="12545" max="12545" width="82.5703125" customWidth="1"/>
    <col min="12546" max="12546" width="19.7109375" bestFit="1" customWidth="1"/>
    <col min="12547" max="12547" width="14.28515625" customWidth="1"/>
    <col min="12548" max="12548" width="16.5703125" bestFit="1" customWidth="1"/>
    <col min="12549" max="12549" width="13.7109375" bestFit="1" customWidth="1"/>
    <col min="12550" max="12550" width="19.85546875" bestFit="1" customWidth="1"/>
    <col min="12551" max="12551" width="40.28515625" customWidth="1"/>
    <col min="12552" max="12552" width="25.7109375" customWidth="1"/>
    <col min="12553" max="12553" width="15.7109375" customWidth="1"/>
    <col min="12554" max="12554" width="18.7109375" customWidth="1"/>
    <col min="12555" max="12555" width="27.42578125" customWidth="1"/>
    <col min="12556" max="12556" width="14.42578125" bestFit="1" customWidth="1"/>
    <col min="12801" max="12801" width="82.5703125" customWidth="1"/>
    <col min="12802" max="12802" width="19.7109375" bestFit="1" customWidth="1"/>
    <col min="12803" max="12803" width="14.28515625" customWidth="1"/>
    <col min="12804" max="12804" width="16.5703125" bestFit="1" customWidth="1"/>
    <col min="12805" max="12805" width="13.7109375" bestFit="1" customWidth="1"/>
    <col min="12806" max="12806" width="19.85546875" bestFit="1" customWidth="1"/>
    <col min="12807" max="12807" width="40.28515625" customWidth="1"/>
    <col min="12808" max="12808" width="25.7109375" customWidth="1"/>
    <col min="12809" max="12809" width="15.7109375" customWidth="1"/>
    <col min="12810" max="12810" width="18.7109375" customWidth="1"/>
    <col min="12811" max="12811" width="27.42578125" customWidth="1"/>
    <col min="12812" max="12812" width="14.42578125" bestFit="1" customWidth="1"/>
    <col min="13057" max="13057" width="82.5703125" customWidth="1"/>
    <col min="13058" max="13058" width="19.7109375" bestFit="1" customWidth="1"/>
    <col min="13059" max="13059" width="14.28515625" customWidth="1"/>
    <col min="13060" max="13060" width="16.5703125" bestFit="1" customWidth="1"/>
    <col min="13061" max="13061" width="13.7109375" bestFit="1" customWidth="1"/>
    <col min="13062" max="13062" width="19.85546875" bestFit="1" customWidth="1"/>
    <col min="13063" max="13063" width="40.28515625" customWidth="1"/>
    <col min="13064" max="13064" width="25.7109375" customWidth="1"/>
    <col min="13065" max="13065" width="15.7109375" customWidth="1"/>
    <col min="13066" max="13066" width="18.7109375" customWidth="1"/>
    <col min="13067" max="13067" width="27.42578125" customWidth="1"/>
    <col min="13068" max="13068" width="14.42578125" bestFit="1" customWidth="1"/>
    <col min="13313" max="13313" width="82.5703125" customWidth="1"/>
    <col min="13314" max="13314" width="19.7109375" bestFit="1" customWidth="1"/>
    <col min="13315" max="13315" width="14.28515625" customWidth="1"/>
    <col min="13316" max="13316" width="16.5703125" bestFit="1" customWidth="1"/>
    <col min="13317" max="13317" width="13.7109375" bestFit="1" customWidth="1"/>
    <col min="13318" max="13318" width="19.85546875" bestFit="1" customWidth="1"/>
    <col min="13319" max="13319" width="40.28515625" customWidth="1"/>
    <col min="13320" max="13320" width="25.7109375" customWidth="1"/>
    <col min="13321" max="13321" width="15.7109375" customWidth="1"/>
    <col min="13322" max="13322" width="18.7109375" customWidth="1"/>
    <col min="13323" max="13323" width="27.42578125" customWidth="1"/>
    <col min="13324" max="13324" width="14.42578125" bestFit="1" customWidth="1"/>
    <col min="13569" max="13569" width="82.5703125" customWidth="1"/>
    <col min="13570" max="13570" width="19.7109375" bestFit="1" customWidth="1"/>
    <col min="13571" max="13571" width="14.28515625" customWidth="1"/>
    <col min="13572" max="13572" width="16.5703125" bestFit="1" customWidth="1"/>
    <col min="13573" max="13573" width="13.7109375" bestFit="1" customWidth="1"/>
    <col min="13574" max="13574" width="19.85546875" bestFit="1" customWidth="1"/>
    <col min="13575" max="13575" width="40.28515625" customWidth="1"/>
    <col min="13576" max="13576" width="25.7109375" customWidth="1"/>
    <col min="13577" max="13577" width="15.7109375" customWidth="1"/>
    <col min="13578" max="13578" width="18.7109375" customWidth="1"/>
    <col min="13579" max="13579" width="27.42578125" customWidth="1"/>
    <col min="13580" max="13580" width="14.42578125" bestFit="1" customWidth="1"/>
    <col min="13825" max="13825" width="82.5703125" customWidth="1"/>
    <col min="13826" max="13826" width="19.7109375" bestFit="1" customWidth="1"/>
    <col min="13827" max="13827" width="14.28515625" customWidth="1"/>
    <col min="13828" max="13828" width="16.5703125" bestFit="1" customWidth="1"/>
    <col min="13829" max="13829" width="13.7109375" bestFit="1" customWidth="1"/>
    <col min="13830" max="13830" width="19.85546875" bestFit="1" customWidth="1"/>
    <col min="13831" max="13831" width="40.28515625" customWidth="1"/>
    <col min="13832" max="13832" width="25.7109375" customWidth="1"/>
    <col min="13833" max="13833" width="15.7109375" customWidth="1"/>
    <col min="13834" max="13834" width="18.7109375" customWidth="1"/>
    <col min="13835" max="13835" width="27.42578125" customWidth="1"/>
    <col min="13836" max="13836" width="14.42578125" bestFit="1" customWidth="1"/>
    <col min="14081" max="14081" width="82.5703125" customWidth="1"/>
    <col min="14082" max="14082" width="19.7109375" bestFit="1" customWidth="1"/>
    <col min="14083" max="14083" width="14.28515625" customWidth="1"/>
    <col min="14084" max="14084" width="16.5703125" bestFit="1" customWidth="1"/>
    <col min="14085" max="14085" width="13.7109375" bestFit="1" customWidth="1"/>
    <col min="14086" max="14086" width="19.85546875" bestFit="1" customWidth="1"/>
    <col min="14087" max="14087" width="40.28515625" customWidth="1"/>
    <col min="14088" max="14088" width="25.7109375" customWidth="1"/>
    <col min="14089" max="14089" width="15.7109375" customWidth="1"/>
    <col min="14090" max="14090" width="18.7109375" customWidth="1"/>
    <col min="14091" max="14091" width="27.42578125" customWidth="1"/>
    <col min="14092" max="14092" width="14.42578125" bestFit="1" customWidth="1"/>
    <col min="14337" max="14337" width="82.5703125" customWidth="1"/>
    <col min="14338" max="14338" width="19.7109375" bestFit="1" customWidth="1"/>
    <col min="14339" max="14339" width="14.28515625" customWidth="1"/>
    <col min="14340" max="14340" width="16.5703125" bestFit="1" customWidth="1"/>
    <col min="14341" max="14341" width="13.7109375" bestFit="1" customWidth="1"/>
    <col min="14342" max="14342" width="19.85546875" bestFit="1" customWidth="1"/>
    <col min="14343" max="14343" width="40.28515625" customWidth="1"/>
    <col min="14344" max="14344" width="25.7109375" customWidth="1"/>
    <col min="14345" max="14345" width="15.7109375" customWidth="1"/>
    <col min="14346" max="14346" width="18.7109375" customWidth="1"/>
    <col min="14347" max="14347" width="27.42578125" customWidth="1"/>
    <col min="14348" max="14348" width="14.42578125" bestFit="1" customWidth="1"/>
    <col min="14593" max="14593" width="82.5703125" customWidth="1"/>
    <col min="14594" max="14594" width="19.7109375" bestFit="1" customWidth="1"/>
    <col min="14595" max="14595" width="14.28515625" customWidth="1"/>
    <col min="14596" max="14596" width="16.5703125" bestFit="1" customWidth="1"/>
    <col min="14597" max="14597" width="13.7109375" bestFit="1" customWidth="1"/>
    <col min="14598" max="14598" width="19.85546875" bestFit="1" customWidth="1"/>
    <col min="14599" max="14599" width="40.28515625" customWidth="1"/>
    <col min="14600" max="14600" width="25.7109375" customWidth="1"/>
    <col min="14601" max="14601" width="15.7109375" customWidth="1"/>
    <col min="14602" max="14602" width="18.7109375" customWidth="1"/>
    <col min="14603" max="14603" width="27.42578125" customWidth="1"/>
    <col min="14604" max="14604" width="14.42578125" bestFit="1" customWidth="1"/>
    <col min="14849" max="14849" width="82.5703125" customWidth="1"/>
    <col min="14850" max="14850" width="19.7109375" bestFit="1" customWidth="1"/>
    <col min="14851" max="14851" width="14.28515625" customWidth="1"/>
    <col min="14852" max="14852" width="16.5703125" bestFit="1" customWidth="1"/>
    <col min="14853" max="14853" width="13.7109375" bestFit="1" customWidth="1"/>
    <col min="14854" max="14854" width="19.85546875" bestFit="1" customWidth="1"/>
    <col min="14855" max="14855" width="40.28515625" customWidth="1"/>
    <col min="14856" max="14856" width="25.7109375" customWidth="1"/>
    <col min="14857" max="14857" width="15.7109375" customWidth="1"/>
    <col min="14858" max="14858" width="18.7109375" customWidth="1"/>
    <col min="14859" max="14859" width="27.42578125" customWidth="1"/>
    <col min="14860" max="14860" width="14.42578125" bestFit="1" customWidth="1"/>
    <col min="15105" max="15105" width="82.5703125" customWidth="1"/>
    <col min="15106" max="15106" width="19.7109375" bestFit="1" customWidth="1"/>
    <col min="15107" max="15107" width="14.28515625" customWidth="1"/>
    <col min="15108" max="15108" width="16.5703125" bestFit="1" customWidth="1"/>
    <col min="15109" max="15109" width="13.7109375" bestFit="1" customWidth="1"/>
    <col min="15110" max="15110" width="19.85546875" bestFit="1" customWidth="1"/>
    <col min="15111" max="15111" width="40.28515625" customWidth="1"/>
    <col min="15112" max="15112" width="25.7109375" customWidth="1"/>
    <col min="15113" max="15113" width="15.7109375" customWidth="1"/>
    <col min="15114" max="15114" width="18.7109375" customWidth="1"/>
    <col min="15115" max="15115" width="27.42578125" customWidth="1"/>
    <col min="15116" max="15116" width="14.42578125" bestFit="1" customWidth="1"/>
    <col min="15361" max="15361" width="82.5703125" customWidth="1"/>
    <col min="15362" max="15362" width="19.7109375" bestFit="1" customWidth="1"/>
    <col min="15363" max="15363" width="14.28515625" customWidth="1"/>
    <col min="15364" max="15364" width="16.5703125" bestFit="1" customWidth="1"/>
    <col min="15365" max="15365" width="13.7109375" bestFit="1" customWidth="1"/>
    <col min="15366" max="15366" width="19.85546875" bestFit="1" customWidth="1"/>
    <col min="15367" max="15367" width="40.28515625" customWidth="1"/>
    <col min="15368" max="15368" width="25.7109375" customWidth="1"/>
    <col min="15369" max="15369" width="15.7109375" customWidth="1"/>
    <col min="15370" max="15370" width="18.7109375" customWidth="1"/>
    <col min="15371" max="15371" width="27.42578125" customWidth="1"/>
    <col min="15372" max="15372" width="14.42578125" bestFit="1" customWidth="1"/>
    <col min="15617" max="15617" width="82.5703125" customWidth="1"/>
    <col min="15618" max="15618" width="19.7109375" bestFit="1" customWidth="1"/>
    <col min="15619" max="15619" width="14.28515625" customWidth="1"/>
    <col min="15620" max="15620" width="16.5703125" bestFit="1" customWidth="1"/>
    <col min="15621" max="15621" width="13.7109375" bestFit="1" customWidth="1"/>
    <col min="15622" max="15622" width="19.85546875" bestFit="1" customWidth="1"/>
    <col min="15623" max="15623" width="40.28515625" customWidth="1"/>
    <col min="15624" max="15624" width="25.7109375" customWidth="1"/>
    <col min="15625" max="15625" width="15.7109375" customWidth="1"/>
    <col min="15626" max="15626" width="18.7109375" customWidth="1"/>
    <col min="15627" max="15627" width="27.42578125" customWidth="1"/>
    <col min="15628" max="15628" width="14.42578125" bestFit="1" customWidth="1"/>
    <col min="15873" max="15873" width="82.5703125" customWidth="1"/>
    <col min="15874" max="15874" width="19.7109375" bestFit="1" customWidth="1"/>
    <col min="15875" max="15875" width="14.28515625" customWidth="1"/>
    <col min="15876" max="15876" width="16.5703125" bestFit="1" customWidth="1"/>
    <col min="15877" max="15877" width="13.7109375" bestFit="1" customWidth="1"/>
    <col min="15878" max="15878" width="19.85546875" bestFit="1" customWidth="1"/>
    <col min="15879" max="15879" width="40.28515625" customWidth="1"/>
    <col min="15880" max="15880" width="25.7109375" customWidth="1"/>
    <col min="15881" max="15881" width="15.7109375" customWidth="1"/>
    <col min="15882" max="15882" width="18.7109375" customWidth="1"/>
    <col min="15883" max="15883" width="27.42578125" customWidth="1"/>
    <col min="15884" max="15884" width="14.42578125" bestFit="1" customWidth="1"/>
    <col min="16129" max="16129" width="82.5703125" customWidth="1"/>
    <col min="16130" max="16130" width="19.7109375" bestFit="1" customWidth="1"/>
    <col min="16131" max="16131" width="14.28515625" customWidth="1"/>
    <col min="16132" max="16132" width="16.5703125" bestFit="1" customWidth="1"/>
    <col min="16133" max="16133" width="13.7109375" bestFit="1" customWidth="1"/>
    <col min="16134" max="16134" width="19.85546875" bestFit="1" customWidth="1"/>
    <col min="16135" max="16135" width="40.28515625" customWidth="1"/>
    <col min="16136" max="16136" width="25.7109375" customWidth="1"/>
    <col min="16137" max="16137" width="15.7109375" customWidth="1"/>
    <col min="16138" max="16138" width="18.7109375" customWidth="1"/>
    <col min="16139" max="16139" width="27.42578125" customWidth="1"/>
    <col min="16140" max="16140" width="14.42578125" bestFit="1" customWidth="1"/>
  </cols>
  <sheetData>
    <row r="1" spans="1:6" ht="15.75">
      <c r="A1" s="623" t="s">
        <v>278</v>
      </c>
      <c r="B1" s="624"/>
      <c r="C1" s="624"/>
      <c r="D1" s="624"/>
      <c r="E1" s="624"/>
      <c r="F1" s="625"/>
    </row>
    <row r="2" spans="1:6" ht="15.75">
      <c r="A2" s="626"/>
      <c r="B2" s="627"/>
      <c r="C2" s="627"/>
      <c r="D2" s="627"/>
      <c r="E2" s="627"/>
      <c r="F2" s="628"/>
    </row>
    <row r="3" spans="1:6" ht="15.75">
      <c r="A3" s="197" t="s">
        <v>135</v>
      </c>
      <c r="B3" s="198" t="s">
        <v>226</v>
      </c>
      <c r="C3" s="198"/>
      <c r="D3" s="198"/>
      <c r="E3" s="198"/>
      <c r="F3" s="199" t="s">
        <v>136</v>
      </c>
    </row>
    <row r="4" spans="1:6" ht="15.75">
      <c r="A4" s="197" t="s">
        <v>137</v>
      </c>
      <c r="B4" s="200" t="s">
        <v>138</v>
      </c>
      <c r="C4" s="200" t="s">
        <v>16</v>
      </c>
      <c r="D4" s="200" t="s">
        <v>139</v>
      </c>
      <c r="E4" s="200" t="s">
        <v>140</v>
      </c>
      <c r="F4" s="199"/>
    </row>
    <row r="5" spans="1:6" ht="18.75">
      <c r="A5" s="620" t="s">
        <v>273</v>
      </c>
      <c r="B5" s="621"/>
      <c r="C5" s="621"/>
      <c r="D5" s="621"/>
      <c r="E5" s="621"/>
      <c r="F5" s="622"/>
    </row>
    <row r="6" spans="1:6" ht="66" customHeight="1">
      <c r="A6" s="212" t="s">
        <v>279</v>
      </c>
      <c r="B6" s="119" t="s">
        <v>141</v>
      </c>
      <c r="C6" s="124" t="s">
        <v>227</v>
      </c>
      <c r="D6" s="120">
        <v>0.6</v>
      </c>
      <c r="E6" s="121">
        <f>0.283*2</f>
        <v>0.56599999999999995</v>
      </c>
      <c r="F6" s="122"/>
    </row>
    <row r="7" spans="1:6" ht="60" customHeight="1">
      <c r="A7" s="212" t="s">
        <v>279</v>
      </c>
      <c r="B7" s="119" t="s">
        <v>160</v>
      </c>
      <c r="C7" s="124" t="s">
        <v>161</v>
      </c>
      <c r="D7" s="120" t="s">
        <v>228</v>
      </c>
      <c r="E7" s="121">
        <f>(0.25*0.45)*2</f>
        <v>0.22500000000000001</v>
      </c>
      <c r="F7" s="122">
        <v>2</v>
      </c>
    </row>
    <row r="8" spans="1:6" ht="18.75">
      <c r="A8" s="157"/>
      <c r="B8" s="201"/>
      <c r="C8" s="202"/>
      <c r="D8" s="158"/>
      <c r="E8" s="159"/>
      <c r="F8" s="211"/>
    </row>
    <row r="9" spans="1:6" ht="18.75">
      <c r="A9" s="620" t="s">
        <v>274</v>
      </c>
      <c r="B9" s="621"/>
      <c r="C9" s="621"/>
      <c r="D9" s="621"/>
      <c r="E9" s="621"/>
      <c r="F9" s="622"/>
    </row>
    <row r="10" spans="1:6" ht="60" customHeight="1">
      <c r="A10" s="212" t="s">
        <v>279</v>
      </c>
      <c r="B10" s="119" t="s">
        <v>141</v>
      </c>
      <c r="C10" s="124" t="s">
        <v>227</v>
      </c>
      <c r="D10" s="120">
        <v>0.6</v>
      </c>
      <c r="E10" s="121">
        <f>0.283*2</f>
        <v>0.56599999999999995</v>
      </c>
      <c r="F10" s="122"/>
    </row>
    <row r="11" spans="1:6" ht="60" customHeight="1">
      <c r="A11" s="212" t="s">
        <v>279</v>
      </c>
      <c r="B11" s="119" t="s">
        <v>160</v>
      </c>
      <c r="C11" s="124" t="s">
        <v>161</v>
      </c>
      <c r="D11" s="120" t="s">
        <v>228</v>
      </c>
      <c r="E11" s="121">
        <f>(0.25*0.45)*2</f>
        <v>0.22500000000000001</v>
      </c>
      <c r="F11" s="122">
        <v>2</v>
      </c>
    </row>
    <row r="12" spans="1:6" ht="18.75">
      <c r="A12" s="157"/>
      <c r="B12" s="201"/>
      <c r="C12" s="202"/>
      <c r="D12" s="158"/>
      <c r="E12" s="159"/>
      <c r="F12" s="211"/>
    </row>
    <row r="13" spans="1:6" ht="18.75">
      <c r="A13" s="620" t="s">
        <v>275</v>
      </c>
      <c r="B13" s="621"/>
      <c r="C13" s="621"/>
      <c r="D13" s="621"/>
      <c r="E13" s="621"/>
      <c r="F13" s="622"/>
    </row>
    <row r="14" spans="1:6" ht="60" customHeight="1">
      <c r="A14" s="118" t="s">
        <v>281</v>
      </c>
      <c r="B14" s="119" t="s">
        <v>141</v>
      </c>
      <c r="C14" s="124" t="s">
        <v>227</v>
      </c>
      <c r="D14" s="120">
        <v>0.6</v>
      </c>
      <c r="E14" s="121">
        <f>0.283*3</f>
        <v>0.84899999999999998</v>
      </c>
      <c r="F14" s="122"/>
    </row>
    <row r="15" spans="1:6" ht="60" customHeight="1">
      <c r="A15" s="118" t="s">
        <v>281</v>
      </c>
      <c r="B15" s="119" t="s">
        <v>160</v>
      </c>
      <c r="C15" s="124" t="s">
        <v>161</v>
      </c>
      <c r="D15" s="120" t="s">
        <v>228</v>
      </c>
      <c r="E15" s="121">
        <f>(0.25*0.45)*3</f>
        <v>0.33750000000000002</v>
      </c>
      <c r="F15" s="122">
        <v>3</v>
      </c>
    </row>
    <row r="16" spans="1:6" ht="18.75">
      <c r="A16" s="157"/>
      <c r="B16" s="201"/>
      <c r="C16" s="202"/>
      <c r="D16" s="158"/>
      <c r="E16" s="159"/>
      <c r="F16" s="211"/>
    </row>
    <row r="17" spans="1:6" ht="18.75">
      <c r="A17" s="620" t="s">
        <v>276</v>
      </c>
      <c r="B17" s="621"/>
      <c r="C17" s="621"/>
      <c r="D17" s="621"/>
      <c r="E17" s="621"/>
      <c r="F17" s="622"/>
    </row>
    <row r="18" spans="1:6" ht="60" customHeight="1">
      <c r="A18" s="118" t="s">
        <v>280</v>
      </c>
      <c r="B18" s="119" t="s">
        <v>141</v>
      </c>
      <c r="C18" s="124" t="s">
        <v>227</v>
      </c>
      <c r="D18" s="120">
        <v>0.6</v>
      </c>
      <c r="E18" s="121">
        <f>0.283*1</f>
        <v>0.28299999999999997</v>
      </c>
      <c r="F18" s="122"/>
    </row>
    <row r="19" spans="1:6" ht="60" customHeight="1">
      <c r="A19" s="118" t="s">
        <v>280</v>
      </c>
      <c r="B19" s="119" t="s">
        <v>160</v>
      </c>
      <c r="C19" s="124" t="s">
        <v>161</v>
      </c>
      <c r="D19" s="120" t="s">
        <v>228</v>
      </c>
      <c r="E19" s="121">
        <f>(0.25*0.45)*2</f>
        <v>0.22500000000000001</v>
      </c>
      <c r="F19" s="122">
        <v>2</v>
      </c>
    </row>
    <row r="20" spans="1:6" ht="18.75">
      <c r="A20" s="157"/>
      <c r="B20" s="201"/>
      <c r="C20" s="202"/>
      <c r="D20" s="158"/>
      <c r="E20" s="159"/>
      <c r="F20" s="211"/>
    </row>
    <row r="21" spans="1:6" ht="18.75">
      <c r="A21" s="157"/>
      <c r="B21" s="160"/>
      <c r="C21" s="160"/>
      <c r="D21" s="160"/>
      <c r="E21" s="160"/>
      <c r="F21" s="161"/>
    </row>
    <row r="22" spans="1:6" ht="60" customHeight="1">
      <c r="A22" s="123" t="s">
        <v>141</v>
      </c>
      <c r="B22" s="124"/>
      <c r="C22" s="124"/>
      <c r="D22" s="124" t="s">
        <v>142</v>
      </c>
      <c r="E22" s="125">
        <f>E6+E10+E14+E18</f>
        <v>2.2639999999999998</v>
      </c>
      <c r="F22" s="126"/>
    </row>
    <row r="23" spans="1:6" ht="60" customHeight="1" thickBot="1">
      <c r="A23" s="127" t="s">
        <v>160</v>
      </c>
      <c r="B23" s="128"/>
      <c r="C23" s="128"/>
      <c r="D23" s="128" t="s">
        <v>229</v>
      </c>
      <c r="E23" s="129">
        <f>F7+F11+F15+F19</f>
        <v>9</v>
      </c>
      <c r="F23" s="130"/>
    </row>
    <row r="26" spans="1:6" ht="60" customHeight="1"/>
    <row r="27" spans="1:6" ht="60" customHeight="1"/>
    <row r="30" spans="1:6" ht="60" customHeight="1"/>
    <row r="31" spans="1:6" ht="60" customHeight="1"/>
  </sheetData>
  <mergeCells count="6">
    <mergeCell ref="A17:F17"/>
    <mergeCell ref="A1:F1"/>
    <mergeCell ref="A2:F2"/>
    <mergeCell ref="A5:F5"/>
    <mergeCell ref="A9:F9"/>
    <mergeCell ref="A13:F13"/>
  </mergeCells>
  <pageMargins left="0.511811024" right="0.511811024" top="0.78740157499999996" bottom="0.78740157499999996" header="0.31496062000000002" footer="0.31496062000000002"/>
  <pageSetup paperSize="9" scale="6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L61"/>
  <sheetViews>
    <sheetView tabSelected="1" zoomScale="90" zoomScaleNormal="90" zoomScaleSheetLayoutView="100" workbookViewId="0">
      <selection activeCell="D41" sqref="D41"/>
    </sheetView>
  </sheetViews>
  <sheetFormatPr defaultRowHeight="12.75"/>
  <cols>
    <col min="1" max="1" width="7.140625" customWidth="1"/>
    <col min="2" max="2" width="20.28515625" style="7" customWidth="1"/>
    <col min="3" max="3" width="10.5703125" bestFit="1" customWidth="1"/>
    <col min="4" max="4" width="70.5703125" style="308" customWidth="1"/>
    <col min="5" max="5" width="9.7109375" bestFit="1" customWidth="1"/>
    <col min="6" max="6" width="13.28515625" bestFit="1" customWidth="1"/>
  </cols>
  <sheetData>
    <row r="1" spans="1:6" ht="18.75" customHeight="1">
      <c r="A1" s="420" t="s">
        <v>105</v>
      </c>
      <c r="B1" s="420"/>
      <c r="C1" s="420"/>
      <c r="D1" s="420"/>
      <c r="E1" s="420"/>
      <c r="F1" s="419" t="s">
        <v>46</v>
      </c>
    </row>
    <row r="2" spans="1:6" ht="15.75" customHeight="1">
      <c r="A2" s="421" t="str">
        <f>RESUMO!A34</f>
        <v>BAIRRO</v>
      </c>
      <c r="B2" s="421"/>
      <c r="C2" s="421" t="str">
        <f>RESUMO!B34</f>
        <v>GONÇALO BOTELHO</v>
      </c>
      <c r="D2" s="421"/>
      <c r="E2" s="421"/>
      <c r="F2" s="419"/>
    </row>
    <row r="3" spans="1:6" ht="32.25" customHeight="1">
      <c r="A3" s="421" t="str">
        <f>RESUMO!A35</f>
        <v>LOGRADOUROS</v>
      </c>
      <c r="B3" s="421"/>
      <c r="C3" s="421" t="str">
        <f>RESUMO!B35</f>
        <v>Ruas: Jataí, Nereu Botelho e Carlos Gomes</v>
      </c>
      <c r="D3" s="421"/>
      <c r="E3" s="421"/>
      <c r="F3" s="418">
        <f>'TERRAP E PAVIM'!H16</f>
        <v>964.79399999999998</v>
      </c>
    </row>
    <row r="4" spans="1:6" ht="15.75">
      <c r="A4" s="421" t="s">
        <v>215</v>
      </c>
      <c r="B4" s="421"/>
      <c r="C4" s="421"/>
      <c r="D4" s="421"/>
      <c r="E4" s="421"/>
      <c r="F4" s="418"/>
    </row>
    <row r="5" spans="1:6" s="80" customFormat="1" ht="19.5" customHeight="1">
      <c r="A5" s="81" t="s">
        <v>37</v>
      </c>
      <c r="B5" s="81" t="s">
        <v>190</v>
      </c>
      <c r="C5" s="51" t="s">
        <v>191</v>
      </c>
      <c r="D5" s="81" t="s">
        <v>0</v>
      </c>
      <c r="E5" s="5" t="s">
        <v>1</v>
      </c>
      <c r="F5" s="272" t="s">
        <v>2</v>
      </c>
    </row>
    <row r="6" spans="1:6" s="80" customFormat="1" ht="19.5" customHeight="1">
      <c r="A6" s="81" t="s">
        <v>50</v>
      </c>
      <c r="B6" s="81" t="s">
        <v>237</v>
      </c>
      <c r="C6" s="78"/>
      <c r="D6" s="306" t="s">
        <v>172</v>
      </c>
      <c r="E6" s="78"/>
      <c r="F6" s="273"/>
    </row>
    <row r="7" spans="1:6" s="80" customFormat="1" ht="19.5" customHeight="1">
      <c r="A7" s="317" t="s">
        <v>51</v>
      </c>
      <c r="B7" s="318" t="s">
        <v>303</v>
      </c>
      <c r="C7" s="319" t="s">
        <v>298</v>
      </c>
      <c r="D7" s="82" t="s">
        <v>283</v>
      </c>
      <c r="E7" s="319" t="s">
        <v>166</v>
      </c>
      <c r="F7" s="274">
        <v>1</v>
      </c>
    </row>
    <row r="8" spans="1:6" s="80" customFormat="1" ht="19.5" customHeight="1">
      <c r="A8" s="320"/>
      <c r="B8" s="320"/>
      <c r="C8" s="320"/>
      <c r="D8" s="307"/>
      <c r="E8" s="275"/>
      <c r="F8" s="275"/>
    </row>
    <row r="9" spans="1:6">
      <c r="A9" s="321" t="s">
        <v>38</v>
      </c>
      <c r="B9" s="321" t="s">
        <v>28</v>
      </c>
      <c r="C9" s="322"/>
      <c r="D9" s="306" t="s">
        <v>31</v>
      </c>
      <c r="E9" s="4"/>
      <c r="F9" s="276"/>
    </row>
    <row r="10" spans="1:6" s="2" customFormat="1" ht="15" customHeight="1">
      <c r="A10" s="321" t="s">
        <v>49</v>
      </c>
      <c r="B10" s="319" t="s">
        <v>304</v>
      </c>
      <c r="C10" s="319" t="s">
        <v>298</v>
      </c>
      <c r="D10" s="345" t="s">
        <v>309</v>
      </c>
      <c r="E10" s="319" t="s">
        <v>6</v>
      </c>
      <c r="F10" s="346">
        <v>12.5</v>
      </c>
    </row>
    <row r="11" spans="1:6" ht="15" customHeight="1">
      <c r="A11" s="321" t="s">
        <v>299</v>
      </c>
      <c r="B11" s="319">
        <v>93584</v>
      </c>
      <c r="C11" s="319" t="s">
        <v>192</v>
      </c>
      <c r="D11" s="345" t="s">
        <v>173</v>
      </c>
      <c r="E11" s="319" t="s">
        <v>6</v>
      </c>
      <c r="F11" s="347">
        <v>30</v>
      </c>
    </row>
    <row r="12" spans="1:6" s="2" customFormat="1" ht="38.25">
      <c r="A12" s="321" t="s">
        <v>300</v>
      </c>
      <c r="B12" s="319" t="s">
        <v>305</v>
      </c>
      <c r="C12" s="319" t="s">
        <v>298</v>
      </c>
      <c r="D12" s="345" t="s">
        <v>54</v>
      </c>
      <c r="E12" s="319" t="s">
        <v>55</v>
      </c>
      <c r="F12" s="346">
        <v>3</v>
      </c>
    </row>
    <row r="13" spans="1:6" ht="27" customHeight="1">
      <c r="A13" s="321" t="s">
        <v>301</v>
      </c>
      <c r="B13" s="319" t="s">
        <v>304</v>
      </c>
      <c r="C13" s="319" t="s">
        <v>193</v>
      </c>
      <c r="D13" s="345" t="s">
        <v>310</v>
      </c>
      <c r="E13" s="319" t="s">
        <v>6</v>
      </c>
      <c r="F13" s="348">
        <v>3.13</v>
      </c>
    </row>
    <row r="14" spans="1:6" ht="15" customHeight="1">
      <c r="A14" s="317"/>
      <c r="B14" s="319"/>
      <c r="C14" s="319"/>
      <c r="D14" s="318"/>
      <c r="E14" s="325"/>
      <c r="F14" s="349"/>
    </row>
    <row r="15" spans="1:6" s="80" customFormat="1" ht="15" customHeight="1">
      <c r="A15" s="323" t="s">
        <v>39</v>
      </c>
      <c r="B15" s="323" t="s">
        <v>29</v>
      </c>
      <c r="C15" s="319"/>
      <c r="D15" s="350" t="s">
        <v>163</v>
      </c>
      <c r="E15" s="351"/>
      <c r="F15" s="349"/>
    </row>
    <row r="16" spans="1:6" ht="15" customHeight="1">
      <c r="A16" s="319" t="s">
        <v>47</v>
      </c>
      <c r="B16" s="319" t="s">
        <v>287</v>
      </c>
      <c r="C16" s="319" t="s">
        <v>298</v>
      </c>
      <c r="D16" s="345" t="s">
        <v>164</v>
      </c>
      <c r="E16" s="319" t="s">
        <v>6</v>
      </c>
      <c r="F16" s="346">
        <f>ROUND(('TERRAP E PAVIM'!P16),3)</f>
        <v>6753.56</v>
      </c>
    </row>
    <row r="17" spans="1:12" ht="15" customHeight="1">
      <c r="A17" s="319" t="s">
        <v>40</v>
      </c>
      <c r="B17" s="319" t="s">
        <v>288</v>
      </c>
      <c r="C17" s="319" t="s">
        <v>298</v>
      </c>
      <c r="D17" s="345" t="s">
        <v>167</v>
      </c>
      <c r="E17" s="319" t="s">
        <v>4</v>
      </c>
      <c r="F17" s="346">
        <f>'TERRAP E PAVIM'!Q16</f>
        <v>1013.04</v>
      </c>
    </row>
    <row r="18" spans="1:12" ht="15" customHeight="1">
      <c r="A18" s="319" t="s">
        <v>56</v>
      </c>
      <c r="B18" s="319" t="s">
        <v>289</v>
      </c>
      <c r="C18" s="319" t="s">
        <v>298</v>
      </c>
      <c r="D18" s="345" t="s">
        <v>165</v>
      </c>
      <c r="E18" s="319" t="s">
        <v>4</v>
      </c>
      <c r="F18" s="346">
        <f>'TERRAP E PAVIM'!R16</f>
        <v>1350.71</v>
      </c>
    </row>
    <row r="19" spans="1:12" ht="25.5">
      <c r="A19" s="319" t="s">
        <v>57</v>
      </c>
      <c r="B19" s="319" t="s">
        <v>290</v>
      </c>
      <c r="C19" s="319" t="s">
        <v>298</v>
      </c>
      <c r="D19" s="345" t="s">
        <v>171</v>
      </c>
      <c r="E19" s="319" t="s">
        <v>166</v>
      </c>
      <c r="F19" s="346">
        <f>TRUNC('TERRAP E PAVIM'!V16/200,2)</f>
        <v>9.39</v>
      </c>
    </row>
    <row r="20" spans="1:12" ht="15" customHeight="1">
      <c r="A20" s="317"/>
      <c r="B20" s="317"/>
      <c r="C20" s="319"/>
      <c r="D20" s="317"/>
      <c r="E20" s="325"/>
      <c r="F20" s="352"/>
    </row>
    <row r="21" spans="1:12" ht="15" customHeight="1">
      <c r="A21" s="324" t="s">
        <v>43</v>
      </c>
      <c r="B21" s="324" t="s">
        <v>30</v>
      </c>
      <c r="C21" s="319"/>
      <c r="D21" s="353" t="s">
        <v>3</v>
      </c>
      <c r="E21" s="325"/>
      <c r="F21" s="352"/>
    </row>
    <row r="22" spans="1:12" s="2" customFormat="1" ht="15" customHeight="1">
      <c r="A22" s="325" t="s">
        <v>44</v>
      </c>
      <c r="B22" s="319" t="s">
        <v>291</v>
      </c>
      <c r="C22" s="319" t="s">
        <v>298</v>
      </c>
      <c r="D22" s="354" t="s">
        <v>107</v>
      </c>
      <c r="E22" s="325" t="s">
        <v>6</v>
      </c>
      <c r="F22" s="346">
        <f>TRUNC('TERRAP E PAVIM'!M16,2)</f>
        <v>3009.12</v>
      </c>
    </row>
    <row r="23" spans="1:12" s="2" customFormat="1" ht="25.5">
      <c r="A23" s="325" t="s">
        <v>230</v>
      </c>
      <c r="B23" s="319" t="s">
        <v>292</v>
      </c>
      <c r="C23" s="319" t="s">
        <v>298</v>
      </c>
      <c r="D23" s="345" t="s">
        <v>218</v>
      </c>
      <c r="E23" s="319" t="s">
        <v>4</v>
      </c>
      <c r="F23" s="347">
        <f>TRUNC('TERRAP E PAVIM'!N16-F24,2)</f>
        <v>593.48</v>
      </c>
      <c r="K23" s="109">
        <v>5502137</v>
      </c>
      <c r="L23" s="109" t="s">
        <v>236</v>
      </c>
    </row>
    <row r="24" spans="1:12" s="2" customFormat="1" ht="25.5">
      <c r="A24" s="325" t="s">
        <v>224</v>
      </c>
      <c r="B24" s="319" t="s">
        <v>307</v>
      </c>
      <c r="C24" s="319" t="s">
        <v>193</v>
      </c>
      <c r="D24" s="355" t="s">
        <v>236</v>
      </c>
      <c r="E24" s="319" t="s">
        <v>4</v>
      </c>
      <c r="F24" s="346">
        <f>TRUNC('TERRAP E PAVIM'!O16*1.15,2)</f>
        <v>6.18</v>
      </c>
    </row>
    <row r="25" spans="1:12" s="2" customFormat="1">
      <c r="A25" s="325" t="s">
        <v>217</v>
      </c>
      <c r="B25" s="319">
        <v>5503041</v>
      </c>
      <c r="C25" s="319" t="s">
        <v>193</v>
      </c>
      <c r="D25" s="354" t="s">
        <v>225</v>
      </c>
      <c r="E25" s="319" t="s">
        <v>4</v>
      </c>
      <c r="F25" s="346">
        <f>'TERRAP E PAVIM'!O16</f>
        <v>5.3800000000000008</v>
      </c>
    </row>
    <row r="26" spans="1:12" s="2" customFormat="1" ht="25.5">
      <c r="A26" s="325" t="s">
        <v>231</v>
      </c>
      <c r="B26" s="319">
        <v>93595</v>
      </c>
      <c r="C26" s="319" t="s">
        <v>192</v>
      </c>
      <c r="D26" s="354" t="s">
        <v>221</v>
      </c>
      <c r="E26" s="319" t="s">
        <v>58</v>
      </c>
      <c r="F26" s="346">
        <f>TRUNC(TRANSP!J7,2)</f>
        <v>2184</v>
      </c>
    </row>
    <row r="27" spans="1:12" s="2" customFormat="1" ht="25.5">
      <c r="A27" s="325" t="s">
        <v>219</v>
      </c>
      <c r="B27" s="319">
        <v>95878</v>
      </c>
      <c r="C27" s="319" t="s">
        <v>192</v>
      </c>
      <c r="D27" s="354" t="s">
        <v>222</v>
      </c>
      <c r="E27" s="319" t="s">
        <v>58</v>
      </c>
      <c r="F27" s="346">
        <f>TRUNC(TRANSP!J13,2)</f>
        <v>7207.22</v>
      </c>
    </row>
    <row r="28" spans="1:12" s="2" customFormat="1" ht="15" customHeight="1">
      <c r="A28" s="325" t="s">
        <v>220</v>
      </c>
      <c r="B28" s="319" t="s">
        <v>293</v>
      </c>
      <c r="C28" s="319" t="s">
        <v>298</v>
      </c>
      <c r="D28" s="345" t="s">
        <v>223</v>
      </c>
      <c r="E28" s="319" t="s">
        <v>4</v>
      </c>
      <c r="F28" s="346">
        <f>F23+F24</f>
        <v>599.66</v>
      </c>
    </row>
    <row r="29" spans="1:12" ht="15" customHeight="1">
      <c r="A29" s="325"/>
      <c r="B29" s="326"/>
      <c r="C29" s="319"/>
      <c r="D29" s="356"/>
      <c r="E29" s="325"/>
      <c r="F29" s="346"/>
    </row>
    <row r="30" spans="1:12" ht="15" customHeight="1">
      <c r="A30" s="324" t="s">
        <v>45</v>
      </c>
      <c r="B30" s="324" t="s">
        <v>32</v>
      </c>
      <c r="C30" s="319"/>
      <c r="D30" s="353" t="s">
        <v>5</v>
      </c>
      <c r="E30" s="325"/>
      <c r="F30" s="346"/>
    </row>
    <row r="31" spans="1:12" ht="15" customHeight="1">
      <c r="A31" s="325" t="s">
        <v>48</v>
      </c>
      <c r="B31" s="319" t="s">
        <v>308</v>
      </c>
      <c r="C31" s="319" t="s">
        <v>192</v>
      </c>
      <c r="D31" s="345" t="s">
        <v>108</v>
      </c>
      <c r="E31" s="325" t="s">
        <v>6</v>
      </c>
      <c r="F31" s="346">
        <f>'TERRAP E PAVIM'!P16</f>
        <v>6753.5599999999995</v>
      </c>
    </row>
    <row r="32" spans="1:12" ht="22.5" customHeight="1">
      <c r="A32" s="325" t="s">
        <v>53</v>
      </c>
      <c r="B32" s="319" t="s">
        <v>174</v>
      </c>
      <c r="C32" s="319" t="s">
        <v>194</v>
      </c>
      <c r="D32" s="345" t="s">
        <v>175</v>
      </c>
      <c r="E32" s="319" t="s">
        <v>4</v>
      </c>
      <c r="F32" s="347">
        <f>TRUNC(('TERRAP E PAVIM'!Q16+'TERRAP E PAVIM'!R16)*1.15,2)</f>
        <v>2718.31</v>
      </c>
    </row>
    <row r="33" spans="1:6" ht="25.5">
      <c r="A33" s="325" t="s">
        <v>234</v>
      </c>
      <c r="B33" s="319">
        <v>96388</v>
      </c>
      <c r="C33" s="319" t="s">
        <v>192</v>
      </c>
      <c r="D33" s="345" t="s">
        <v>109</v>
      </c>
      <c r="E33" s="319" t="s">
        <v>4</v>
      </c>
      <c r="F33" s="347">
        <f>'TERRAP E PAVIM'!Q16</f>
        <v>1013.04</v>
      </c>
    </row>
    <row r="34" spans="1:6" ht="25.5">
      <c r="A34" s="325" t="s">
        <v>176</v>
      </c>
      <c r="B34" s="319">
        <v>96388</v>
      </c>
      <c r="C34" s="319" t="s">
        <v>192</v>
      </c>
      <c r="D34" s="345" t="s">
        <v>110</v>
      </c>
      <c r="E34" s="319" t="s">
        <v>4</v>
      </c>
      <c r="F34" s="347">
        <f>'TERRAP E PAVIM'!R16</f>
        <v>1350.71</v>
      </c>
    </row>
    <row r="35" spans="1:6" ht="38.25">
      <c r="A35" s="325" t="s">
        <v>177</v>
      </c>
      <c r="B35" s="78">
        <v>96401</v>
      </c>
      <c r="C35" s="78" t="s">
        <v>192</v>
      </c>
      <c r="D35" s="345" t="s">
        <v>319</v>
      </c>
      <c r="E35" s="325" t="s">
        <v>6</v>
      </c>
      <c r="F35" s="346">
        <f>'TERRAP E PAVIM'!S16</f>
        <v>5209.88</v>
      </c>
    </row>
    <row r="36" spans="1:6" ht="38.25">
      <c r="A36" s="325" t="s">
        <v>178</v>
      </c>
      <c r="B36" s="78">
        <v>96402</v>
      </c>
      <c r="C36" s="78" t="s">
        <v>192</v>
      </c>
      <c r="D36" s="345" t="s">
        <v>320</v>
      </c>
      <c r="E36" s="325" t="s">
        <v>6</v>
      </c>
      <c r="F36" s="346">
        <f>'TERRAP E PAVIM'!T16</f>
        <v>5209.88</v>
      </c>
    </row>
    <row r="37" spans="1:6" s="2" customFormat="1" ht="25.5">
      <c r="A37" s="325" t="s">
        <v>179</v>
      </c>
      <c r="B37" s="319">
        <v>95995</v>
      </c>
      <c r="C37" s="319" t="s">
        <v>192</v>
      </c>
      <c r="D37" s="345" t="s">
        <v>183</v>
      </c>
      <c r="E37" s="325" t="s">
        <v>4</v>
      </c>
      <c r="F37" s="346">
        <f>TRUNC('TERRAP E PAVIM'!U16,2)</f>
        <v>208.39</v>
      </c>
    </row>
    <row r="38" spans="1:6" s="2" customFormat="1" ht="25.5">
      <c r="A38" s="325" t="s">
        <v>180</v>
      </c>
      <c r="B38" s="319" t="s">
        <v>294</v>
      </c>
      <c r="C38" s="319" t="s">
        <v>298</v>
      </c>
      <c r="D38" s="345" t="s">
        <v>238</v>
      </c>
      <c r="E38" s="325" t="s">
        <v>4</v>
      </c>
      <c r="F38" s="346">
        <f>TRUNC('TERRAP E PAVIM'!U16,2)</f>
        <v>208.39</v>
      </c>
    </row>
    <row r="39" spans="1:6" ht="25.5">
      <c r="A39" s="325" t="s">
        <v>181</v>
      </c>
      <c r="B39" s="319">
        <v>93595</v>
      </c>
      <c r="C39" s="319" t="s">
        <v>192</v>
      </c>
      <c r="D39" s="345" t="s">
        <v>209</v>
      </c>
      <c r="E39" s="325" t="s">
        <v>58</v>
      </c>
      <c r="F39" s="346">
        <f>TRANSP!J21</f>
        <v>8698.6</v>
      </c>
    </row>
    <row r="40" spans="1:6" ht="25.5">
      <c r="A40" s="325" t="s">
        <v>182</v>
      </c>
      <c r="B40" s="319">
        <v>95878</v>
      </c>
      <c r="C40" s="319" t="s">
        <v>192</v>
      </c>
      <c r="D40" s="345" t="s">
        <v>207</v>
      </c>
      <c r="E40" s="325" t="s">
        <v>58</v>
      </c>
      <c r="F40" s="346">
        <f>TRANSP!J28</f>
        <v>28705.38</v>
      </c>
    </row>
    <row r="41" spans="1:6" ht="25.5">
      <c r="A41" s="325" t="s">
        <v>239</v>
      </c>
      <c r="B41" s="319" t="s">
        <v>295</v>
      </c>
      <c r="C41" s="319" t="s">
        <v>298</v>
      </c>
      <c r="D41" s="345" t="s">
        <v>233</v>
      </c>
      <c r="E41" s="325" t="s">
        <v>195</v>
      </c>
      <c r="F41" s="346">
        <f>TRANSP!J34</f>
        <v>4542.8999999999996</v>
      </c>
    </row>
    <row r="42" spans="1:6" ht="15" customHeight="1">
      <c r="A42" s="325"/>
      <c r="B42" s="325"/>
      <c r="C42" s="319"/>
      <c r="D42" s="317"/>
      <c r="E42" s="325"/>
      <c r="F42" s="346"/>
    </row>
    <row r="43" spans="1:6" ht="15" customHeight="1">
      <c r="A43" s="324" t="s">
        <v>111</v>
      </c>
      <c r="B43" s="324" t="s">
        <v>35</v>
      </c>
      <c r="C43" s="319"/>
      <c r="D43" s="357" t="s">
        <v>112</v>
      </c>
      <c r="E43" s="319"/>
      <c r="F43" s="347"/>
    </row>
    <row r="44" spans="1:6" ht="27" customHeight="1">
      <c r="A44" s="325" t="s">
        <v>113</v>
      </c>
      <c r="B44" s="319" t="s">
        <v>296</v>
      </c>
      <c r="C44" s="319" t="s">
        <v>298</v>
      </c>
      <c r="D44" s="345" t="s">
        <v>114</v>
      </c>
      <c r="E44" s="319" t="s">
        <v>6</v>
      </c>
      <c r="F44" s="347">
        <f>TRUNC('SN HOR_02'!C25,2)</f>
        <v>248.87</v>
      </c>
    </row>
    <row r="45" spans="1:6" ht="15" customHeight="1">
      <c r="A45" s="325" t="s">
        <v>115</v>
      </c>
      <c r="B45" s="319">
        <v>5213405</v>
      </c>
      <c r="C45" s="319" t="s">
        <v>193</v>
      </c>
      <c r="D45" s="345" t="s">
        <v>189</v>
      </c>
      <c r="E45" s="319" t="s">
        <v>6</v>
      </c>
      <c r="F45" s="347">
        <f>TRUNC('SN HOR_02'!C26,2)</f>
        <v>35.01</v>
      </c>
    </row>
    <row r="46" spans="1:6" ht="15" customHeight="1">
      <c r="A46" s="325" t="s">
        <v>116</v>
      </c>
      <c r="B46" s="319">
        <v>5213417</v>
      </c>
      <c r="C46" s="319" t="s">
        <v>193</v>
      </c>
      <c r="D46" s="345" t="s">
        <v>188</v>
      </c>
      <c r="E46" s="319" t="s">
        <v>6</v>
      </c>
      <c r="F46" s="347">
        <f>TRUNC('SN VERT_02'!E22,2)</f>
        <v>2.2599999999999998</v>
      </c>
    </row>
    <row r="47" spans="1:6" ht="25.5">
      <c r="A47" s="325" t="s">
        <v>201</v>
      </c>
      <c r="B47" s="325">
        <v>5213855</v>
      </c>
      <c r="C47" s="319" t="s">
        <v>193</v>
      </c>
      <c r="D47" s="354" t="s">
        <v>200</v>
      </c>
      <c r="E47" s="325" t="s">
        <v>8</v>
      </c>
      <c r="F47" s="346">
        <f>'SN VERT_02'!E23</f>
        <v>9</v>
      </c>
    </row>
    <row r="48" spans="1:6" ht="15" customHeight="1">
      <c r="A48" s="325"/>
      <c r="B48" s="325"/>
      <c r="C48" s="319"/>
      <c r="D48" s="317"/>
      <c r="E48" s="325"/>
      <c r="F48" s="346"/>
    </row>
    <row r="49" spans="1:6">
      <c r="A49" s="324" t="s">
        <v>168</v>
      </c>
      <c r="B49" s="324" t="s">
        <v>143</v>
      </c>
      <c r="C49" s="319"/>
      <c r="D49" s="357" t="s">
        <v>9</v>
      </c>
      <c r="E49" s="319"/>
      <c r="F49" s="347"/>
    </row>
    <row r="50" spans="1:6" ht="25.5">
      <c r="A50" s="319" t="s">
        <v>169</v>
      </c>
      <c r="B50" s="319">
        <v>94267</v>
      </c>
      <c r="C50" s="319" t="s">
        <v>192</v>
      </c>
      <c r="D50" s="345" t="s">
        <v>263</v>
      </c>
      <c r="E50" s="319" t="s">
        <v>7</v>
      </c>
      <c r="F50" s="347">
        <f>TRUNC('TERRAP E PAVIM'!V16-F51,2)</f>
        <v>1789.58</v>
      </c>
    </row>
    <row r="51" spans="1:6" ht="25.5">
      <c r="A51" s="319" t="s">
        <v>198</v>
      </c>
      <c r="B51" s="319">
        <v>94268</v>
      </c>
      <c r="C51" s="319" t="s">
        <v>192</v>
      </c>
      <c r="D51" s="345" t="s">
        <v>262</v>
      </c>
      <c r="E51" s="319" t="s">
        <v>7</v>
      </c>
      <c r="F51" s="347">
        <f>18*5</f>
        <v>90</v>
      </c>
    </row>
    <row r="52" spans="1:6" s="330" customFormat="1" ht="25.5">
      <c r="A52" s="319" t="s">
        <v>314</v>
      </c>
      <c r="B52" s="319">
        <v>94991</v>
      </c>
      <c r="C52" s="319" t="s">
        <v>192</v>
      </c>
      <c r="D52" s="345" t="s">
        <v>313</v>
      </c>
      <c r="E52" s="325" t="s">
        <v>4</v>
      </c>
      <c r="F52" s="347">
        <f>TRUNC('TERRAP E PAVIM'!X16,2)</f>
        <v>166.73</v>
      </c>
    </row>
    <row r="53" spans="1:6" s="370" customFormat="1">
      <c r="A53" s="319" t="s">
        <v>311</v>
      </c>
      <c r="B53" s="372">
        <v>101094</v>
      </c>
      <c r="C53" s="372" t="s">
        <v>192</v>
      </c>
      <c r="D53" s="373" t="s">
        <v>316</v>
      </c>
      <c r="E53" s="372" t="s">
        <v>7</v>
      </c>
      <c r="F53" s="347">
        <f>ROUND('TERRAP E PAVIM'!W16,2)</f>
        <v>1852.59</v>
      </c>
    </row>
    <row r="54" spans="1:6" s="6" customFormat="1" ht="15" customHeight="1">
      <c r="A54" s="319" t="s">
        <v>318</v>
      </c>
      <c r="B54" s="319" t="s">
        <v>297</v>
      </c>
      <c r="C54" s="319" t="s">
        <v>298</v>
      </c>
      <c r="D54" s="82" t="s">
        <v>199</v>
      </c>
      <c r="E54" s="78" t="s">
        <v>8</v>
      </c>
      <c r="F54" s="274">
        <f>'SN VERT_02'!E23</f>
        <v>9</v>
      </c>
    </row>
    <row r="56" spans="1:6">
      <c r="F56" s="86">
        <f>SUM(F7:F55)</f>
        <v>91603.449999999968</v>
      </c>
    </row>
    <row r="61" spans="1:6">
      <c r="F61">
        <v>209331.46656</v>
      </c>
    </row>
  </sheetData>
  <customSheetViews>
    <customSheetView guid="{E8D46A29-8D28-49CA-936A-9705D639E1C7}" topLeftCell="A34">
      <selection activeCell="E51" sqref="E51"/>
      <pageMargins left="0.51181102362204722" right="0.51181102362204722" top="0.78740157480314965" bottom="0.78740157480314965" header="0.31496062992125984" footer="0.31496062992125984"/>
      <printOptions horizontalCentered="1"/>
      <pageSetup scale="80" orientation="portrait" horizontalDpi="4294967294" r:id="rId1"/>
    </customSheetView>
  </customSheetViews>
  <mergeCells count="8">
    <mergeCell ref="F3:F4"/>
    <mergeCell ref="F1:F2"/>
    <mergeCell ref="A1:E1"/>
    <mergeCell ref="A4:E4"/>
    <mergeCell ref="A3:B3"/>
    <mergeCell ref="C3:E3"/>
    <mergeCell ref="A2:B2"/>
    <mergeCell ref="C2:E2"/>
  </mergeCells>
  <phoneticPr fontId="87" type="noConversion"/>
  <printOptions horizontalCentered="1"/>
  <pageMargins left="0.31496062992125984" right="0.31496062992125984" top="0.55118110236220474" bottom="0.39370078740157483" header="0.31496062992125984" footer="0.31496062992125984"/>
  <pageSetup paperSize="9" scale="85" fitToWidth="2" orientation="portrait" horizontalDpi="4294967294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4">
    <pageSetUpPr fitToPage="1"/>
  </sheetPr>
  <dimension ref="A1:HX66"/>
  <sheetViews>
    <sheetView zoomScale="85" zoomScaleNormal="85" workbookViewId="0">
      <selection activeCell="J58" sqref="A1:J58"/>
    </sheetView>
  </sheetViews>
  <sheetFormatPr defaultRowHeight="15" customHeight="1"/>
  <cols>
    <col min="1" max="1" width="6.140625" style="249" bestFit="1" customWidth="1"/>
    <col min="2" max="2" width="23.85546875" style="244" bestFit="1" customWidth="1"/>
    <col min="3" max="3" width="10.42578125" style="244" customWidth="1"/>
    <col min="4" max="4" width="92" style="218" customWidth="1"/>
    <col min="5" max="5" width="7.140625" style="244" customWidth="1"/>
    <col min="6" max="6" width="10.7109375" style="248" bestFit="1" customWidth="1"/>
    <col min="7" max="7" width="10.7109375" style="251" customWidth="1"/>
    <col min="8" max="8" width="14.85546875" style="248" bestFit="1" customWidth="1"/>
    <col min="9" max="9" width="11.85546875" style="248" bestFit="1" customWidth="1"/>
    <col min="10" max="10" width="24.7109375" style="248" customWidth="1"/>
    <col min="11" max="11" width="9.5703125" style="218" bestFit="1" customWidth="1"/>
    <col min="12" max="12" width="13" style="218" customWidth="1"/>
    <col min="13" max="13" width="11.28515625" style="218" bestFit="1" customWidth="1"/>
    <col min="14" max="14" width="23.85546875" style="218" bestFit="1" customWidth="1"/>
    <col min="15" max="15" width="10.140625" style="218" bestFit="1" customWidth="1"/>
    <col min="16" max="16384" width="9.140625" style="218"/>
  </cols>
  <sheetData>
    <row r="1" spans="1:232" ht="20.100000000000001" customHeight="1">
      <c r="A1" s="436" t="str">
        <f>QUANT!A1</f>
        <v>PREFEITURA MUNICIPAL DE VÁRZEA GRANDE</v>
      </c>
      <c r="B1" s="437"/>
      <c r="C1" s="437"/>
      <c r="D1" s="425" t="s">
        <v>282</v>
      </c>
      <c r="E1" s="425"/>
      <c r="F1" s="425"/>
      <c r="G1" s="425"/>
      <c r="H1" s="425"/>
      <c r="I1" s="425"/>
      <c r="J1" s="429" t="s">
        <v>84</v>
      </c>
      <c r="HX1" s="218" t="s">
        <v>10</v>
      </c>
    </row>
    <row r="2" spans="1:232" ht="20.100000000000001" customHeight="1">
      <c r="A2" s="438"/>
      <c r="B2" s="439"/>
      <c r="C2" s="439"/>
      <c r="D2" s="431" t="s">
        <v>285</v>
      </c>
      <c r="E2" s="432"/>
      <c r="F2" s="432"/>
      <c r="G2" s="432"/>
      <c r="H2" s="432"/>
      <c r="I2" s="433"/>
      <c r="J2" s="430"/>
    </row>
    <row r="3" spans="1:232" ht="20.100000000000001" customHeight="1">
      <c r="A3" s="440"/>
      <c r="B3" s="441"/>
      <c r="C3" s="441"/>
      <c r="D3" s="426" t="str">
        <f>RESUMO!B35</f>
        <v>Ruas: Jataí, Nereu Botelho e Carlos Gomes</v>
      </c>
      <c r="E3" s="427"/>
      <c r="F3" s="427"/>
      <c r="G3" s="427"/>
      <c r="H3" s="427"/>
      <c r="I3" s="428"/>
      <c r="J3" s="380" t="str">
        <f>RESUMO!C4</f>
        <v>SETEMBRO/2022 SINAPI</v>
      </c>
    </row>
    <row r="4" spans="1:232" ht="20.100000000000001" customHeight="1">
      <c r="A4" s="440"/>
      <c r="B4" s="441"/>
      <c r="C4" s="441"/>
      <c r="D4" s="435" t="str">
        <f>QUANT!A4</f>
        <v>OBRA: Pavimentação de Vias Urbanas</v>
      </c>
      <c r="E4" s="435"/>
      <c r="F4" s="435"/>
      <c r="G4" s="435"/>
      <c r="H4" s="435"/>
      <c r="I4" s="435"/>
      <c r="J4" s="236" t="str">
        <f>RESUMO!C5</f>
        <v>ABRIL/2022 SICRO 3</v>
      </c>
    </row>
    <row r="5" spans="1:232" ht="20.100000000000001" customHeight="1">
      <c r="A5" s="422" t="s">
        <v>106</v>
      </c>
      <c r="B5" s="423"/>
      <c r="C5" s="423"/>
      <c r="D5" s="219">
        <f>BDI!E25</f>
        <v>0.20699999999999999</v>
      </c>
      <c r="E5" s="434" t="s">
        <v>83</v>
      </c>
      <c r="F5" s="434"/>
      <c r="G5" s="267">
        <f>'TERRAP E PAVIM'!S16</f>
        <v>5209.88</v>
      </c>
      <c r="H5" s="267" t="s">
        <v>210</v>
      </c>
      <c r="I5" s="268">
        <f>'TERRAP E PAVIM'!H16</f>
        <v>964.79399999999998</v>
      </c>
      <c r="J5" s="236" t="s">
        <v>232</v>
      </c>
      <c r="L5" s="218">
        <v>0.20699999999999999</v>
      </c>
    </row>
    <row r="6" spans="1:232" ht="18.75" customHeight="1" thickBot="1">
      <c r="A6" s="422" t="s">
        <v>197</v>
      </c>
      <c r="B6" s="423"/>
      <c r="C6" s="424"/>
      <c r="D6" s="221">
        <f>'BDI DIFERENCIADO'!E25</f>
        <v>0.1527</v>
      </c>
      <c r="E6" s="363"/>
      <c r="F6" s="222"/>
      <c r="G6" s="222"/>
      <c r="H6" s="222"/>
      <c r="I6" s="269"/>
      <c r="J6" s="223"/>
      <c r="L6" s="235" t="s">
        <v>232</v>
      </c>
    </row>
    <row r="7" spans="1:232" s="229" customFormat="1" ht="31.5">
      <c r="A7" s="224" t="str">
        <f>QUANT!A5</f>
        <v>ITEM</v>
      </c>
      <c r="B7" s="225" t="str">
        <f>QUANT!B5</f>
        <v>CODIGO</v>
      </c>
      <c r="C7" s="361" t="str">
        <f>QUANT!C5</f>
        <v>BANCO</v>
      </c>
      <c r="D7" s="225" t="s">
        <v>0</v>
      </c>
      <c r="E7" s="361" t="s">
        <v>11</v>
      </c>
      <c r="F7" s="226" t="s">
        <v>12</v>
      </c>
      <c r="G7" s="226" t="s">
        <v>13</v>
      </c>
      <c r="H7" s="270" t="s">
        <v>213</v>
      </c>
      <c r="I7" s="226" t="s">
        <v>14</v>
      </c>
      <c r="J7" s="227" t="s">
        <v>15</v>
      </c>
      <c r="K7" s="228"/>
      <c r="L7" s="214" t="s">
        <v>184</v>
      </c>
      <c r="M7" s="215" t="s">
        <v>185</v>
      </c>
      <c r="N7" s="215" t="s">
        <v>186</v>
      </c>
      <c r="O7" s="216" t="s">
        <v>187</v>
      </c>
      <c r="P7" s="218"/>
      <c r="Q7" s="218"/>
    </row>
    <row r="8" spans="1:232" s="229" customFormat="1" ht="15.75" hidden="1">
      <c r="A8" s="224" t="str">
        <f>QUANT!A6</f>
        <v>1.0</v>
      </c>
      <c r="B8" s="361" t="str">
        <f>QUANT!B6</f>
        <v>I</v>
      </c>
      <c r="C8" s="225"/>
      <c r="D8" s="225" t="s">
        <v>172</v>
      </c>
      <c r="E8" s="225"/>
      <c r="F8" s="225"/>
      <c r="G8" s="226"/>
      <c r="H8" s="270"/>
      <c r="I8" s="226"/>
      <c r="J8" s="227"/>
      <c r="K8" s="228"/>
      <c r="L8" s="237"/>
      <c r="M8" s="238"/>
      <c r="N8" s="238"/>
      <c r="O8" s="239"/>
      <c r="P8" s="218"/>
      <c r="Q8" s="218"/>
    </row>
    <row r="9" spans="1:232" s="229" customFormat="1" ht="15.75" hidden="1">
      <c r="A9" s="277" t="str">
        <f>QUANT!A7</f>
        <v>1.1</v>
      </c>
      <c r="B9" s="231" t="str">
        <f>QUANT!B7</f>
        <v>COMP. 1.1</v>
      </c>
      <c r="C9" s="243" t="str">
        <f>QUANT!C7</f>
        <v>PRÓPRIO</v>
      </c>
      <c r="D9" s="243" t="s">
        <v>283</v>
      </c>
      <c r="E9" s="231" t="str">
        <f>QUANT!E7</f>
        <v>un</v>
      </c>
      <c r="F9" s="278">
        <f>QUANT!F7</f>
        <v>1</v>
      </c>
      <c r="G9" s="232">
        <v>21777.94</v>
      </c>
      <c r="H9" s="232">
        <f t="shared" ref="H9" si="0">ROUND((G9*(1+($D$5))),2)</f>
        <v>26285.97</v>
      </c>
      <c r="I9" s="232">
        <f>ROUND(F9*H9,2)</f>
        <v>26285.97</v>
      </c>
      <c r="J9" s="236">
        <f>SUM(I9)</f>
        <v>26285.97</v>
      </c>
      <c r="K9" s="304"/>
      <c r="L9" s="240">
        <f>J9/J58</f>
        <v>1.7919149449824017E-2</v>
      </c>
      <c r="M9" s="218"/>
      <c r="N9" s="218"/>
      <c r="O9" s="218"/>
      <c r="P9" s="218"/>
      <c r="Q9" s="218"/>
    </row>
    <row r="10" spans="1:232" s="229" customFormat="1" ht="15.75" hidden="1">
      <c r="A10" s="224"/>
      <c r="B10" s="225"/>
      <c r="C10" s="361"/>
      <c r="D10" s="225"/>
      <c r="E10" s="361"/>
      <c r="F10" s="226"/>
      <c r="G10" s="232"/>
      <c r="H10" s="270"/>
      <c r="I10" s="226"/>
      <c r="J10" s="227"/>
      <c r="K10" s="304"/>
    </row>
    <row r="11" spans="1:232" ht="15" hidden="1" customHeight="1">
      <c r="A11" s="230" t="str">
        <f>QUANT!A9</f>
        <v>2.0</v>
      </c>
      <c r="B11" s="361"/>
      <c r="C11" s="361"/>
      <c r="D11" s="225" t="s">
        <v>31</v>
      </c>
      <c r="E11" s="231"/>
      <c r="F11" s="232"/>
      <c r="G11" s="232"/>
      <c r="H11" s="232"/>
      <c r="I11" s="232"/>
      <c r="J11" s="364"/>
      <c r="K11" s="304"/>
    </row>
    <row r="12" spans="1:232" ht="15" hidden="1" customHeight="1">
      <c r="A12" s="233" t="str">
        <f>QUANT!A10</f>
        <v>2.1</v>
      </c>
      <c r="B12" s="231" t="str">
        <f>QUANT!B10</f>
        <v>COMP. 2.1 (74209/001)</v>
      </c>
      <c r="C12" s="231" t="str">
        <f>QUANT!C10</f>
        <v>PRÓPRIO</v>
      </c>
      <c r="D12" s="243" t="str">
        <f>QUANT!D10</f>
        <v>Placa de obra em chapa de aço galvanizado (Placa do Governo Federal)</v>
      </c>
      <c r="E12" s="231" t="str">
        <f>QUANT!E10</f>
        <v>m²</v>
      </c>
      <c r="F12" s="232">
        <f>QUANT!F10</f>
        <v>12.5</v>
      </c>
      <c r="G12" s="232">
        <v>542.77</v>
      </c>
      <c r="H12" s="232">
        <f>ROUND((G12*(1+($D$5))),2)</f>
        <v>655.12</v>
      </c>
      <c r="I12" s="232">
        <f>ROUND(F12*H12,2)</f>
        <v>8189</v>
      </c>
      <c r="J12" s="365"/>
      <c r="K12" s="304"/>
    </row>
    <row r="13" spans="1:232" ht="15" hidden="1" customHeight="1">
      <c r="A13" s="233" t="str">
        <f>QUANT!A11</f>
        <v>2.2</v>
      </c>
      <c r="B13" s="231">
        <f>QUANT!B11</f>
        <v>93584</v>
      </c>
      <c r="C13" s="231" t="str">
        <f>QUANT!C11</f>
        <v>SINAPI</v>
      </c>
      <c r="D13" s="243" t="s">
        <v>173</v>
      </c>
      <c r="E13" s="231" t="str">
        <f>QUANT!E11</f>
        <v>m²</v>
      </c>
      <c r="F13" s="232">
        <f>QUANT!F11</f>
        <v>30</v>
      </c>
      <c r="G13" s="232">
        <v>923.55</v>
      </c>
      <c r="H13" s="232">
        <f t="shared" ref="H13:H15" si="1">ROUND((G13*(1+($D$5))),2)</f>
        <v>1114.72</v>
      </c>
      <c r="I13" s="232">
        <f t="shared" ref="I13:I15" si="2">ROUND(F13*H13,2)</f>
        <v>33441.599999999999</v>
      </c>
      <c r="J13" s="365"/>
      <c r="K13" s="304"/>
    </row>
    <row r="14" spans="1:232" ht="47.25" hidden="1">
      <c r="A14" s="233" t="str">
        <f>QUANT!A12</f>
        <v>2.3</v>
      </c>
      <c r="B14" s="234" t="str">
        <f>QUANT!B12</f>
        <v>COMP. 2.3 (73847/001)</v>
      </c>
      <c r="C14" s="231" t="str">
        <f>QUANT!C12</f>
        <v>PRÓPRIO</v>
      </c>
      <c r="D14" s="362" t="s">
        <v>54</v>
      </c>
      <c r="E14" s="231" t="str">
        <f>QUANT!E12</f>
        <v>mês</v>
      </c>
      <c r="F14" s="232">
        <f>QUANT!F12</f>
        <v>3</v>
      </c>
      <c r="G14" s="232">
        <v>648.42999999999995</v>
      </c>
      <c r="H14" s="232">
        <f>ROUND((G14*(1+($D$6))),2)</f>
        <v>747.45</v>
      </c>
      <c r="I14" s="232">
        <f t="shared" si="2"/>
        <v>2242.35</v>
      </c>
      <c r="J14" s="236"/>
      <c r="K14" s="304"/>
    </row>
    <row r="15" spans="1:232" ht="15" hidden="1" customHeight="1">
      <c r="A15" s="339" t="str">
        <f>QUANT!A13</f>
        <v>2.4</v>
      </c>
      <c r="B15" s="340" t="str">
        <f>QUANT!B13</f>
        <v>COMP. 2.1 (74209/001)</v>
      </c>
      <c r="C15" s="340" t="str">
        <f>QUANT!C13</f>
        <v>SICRO 3</v>
      </c>
      <c r="D15" s="343" t="str">
        <f>QUANT!D13</f>
        <v>Placa de obra em chapa de aço galvanizado (Placa da prefitura de Varzea Grande-MT)</v>
      </c>
      <c r="E15" s="340" t="str">
        <f>QUANT!E13</f>
        <v>m²</v>
      </c>
      <c r="F15" s="341">
        <f>ROUND((QUANT!F13),2)</f>
        <v>3.13</v>
      </c>
      <c r="G15" s="232">
        <v>542.77</v>
      </c>
      <c r="H15" s="341">
        <f t="shared" si="1"/>
        <v>655.12</v>
      </c>
      <c r="I15" s="341">
        <f t="shared" si="2"/>
        <v>2050.5300000000002</v>
      </c>
      <c r="J15" s="342">
        <f>SUM(I12:I15)</f>
        <v>45923.479999999996</v>
      </c>
      <c r="K15" s="304"/>
    </row>
    <row r="16" spans="1:232" ht="15" hidden="1" customHeight="1">
      <c r="A16" s="233"/>
      <c r="B16" s="231"/>
      <c r="C16" s="231"/>
      <c r="D16" s="243"/>
      <c r="E16" s="231"/>
      <c r="F16" s="232"/>
      <c r="G16" s="232"/>
      <c r="H16" s="232"/>
      <c r="I16" s="232"/>
      <c r="J16" s="236"/>
      <c r="K16" s="304"/>
    </row>
    <row r="17" spans="1:12" ht="15" hidden="1" customHeight="1">
      <c r="A17" s="230" t="str">
        <f>QUANT!A15</f>
        <v>3.0</v>
      </c>
      <c r="B17" s="361"/>
      <c r="C17" s="361"/>
      <c r="D17" s="225" t="s">
        <v>163</v>
      </c>
      <c r="E17" s="231"/>
      <c r="F17" s="232"/>
      <c r="G17" s="232"/>
      <c r="H17" s="232"/>
      <c r="I17" s="232"/>
      <c r="J17" s="236"/>
      <c r="K17" s="304"/>
      <c r="L17" s="241"/>
    </row>
    <row r="18" spans="1:12" ht="15" hidden="1" customHeight="1">
      <c r="A18" s="233" t="str">
        <f>QUANT!A16</f>
        <v>3.1</v>
      </c>
      <c r="B18" s="231" t="str">
        <f>QUANT!B16</f>
        <v>COMP. 3.1 (74021/003)</v>
      </c>
      <c r="C18" s="231" t="str">
        <f>QUANT!C16</f>
        <v>PRÓPRIO</v>
      </c>
      <c r="D18" s="243" t="s">
        <v>164</v>
      </c>
      <c r="E18" s="231" t="str">
        <f>QUANT!E16</f>
        <v>m²</v>
      </c>
      <c r="F18" s="232">
        <f>QUANT!F16</f>
        <v>6753.56</v>
      </c>
      <c r="G18" s="232">
        <v>0.77</v>
      </c>
      <c r="H18" s="232">
        <f t="shared" ref="H18:H21" si="3">ROUND((G18*(1+($D$5))),2)</f>
        <v>0.93</v>
      </c>
      <c r="I18" s="232">
        <f t="shared" ref="I18:I21" si="4">ROUND(F18*H18,2)</f>
        <v>6280.81</v>
      </c>
      <c r="J18" s="236"/>
      <c r="K18" s="304"/>
    </row>
    <row r="19" spans="1:12" ht="15" hidden="1" customHeight="1">
      <c r="A19" s="233" t="str">
        <f>QUANT!A17</f>
        <v>3.2</v>
      </c>
      <c r="B19" s="231" t="str">
        <f>QUANT!B17</f>
        <v>COMP. 3.2 (74021/006)</v>
      </c>
      <c r="C19" s="231" t="str">
        <f>QUANT!C17</f>
        <v>PRÓPRIO</v>
      </c>
      <c r="D19" s="243" t="s">
        <v>306</v>
      </c>
      <c r="E19" s="231" t="str">
        <f>QUANT!E17</f>
        <v>m³</v>
      </c>
      <c r="F19" s="232">
        <f>QUANT!F17</f>
        <v>1013.04</v>
      </c>
      <c r="G19" s="232">
        <v>1.53</v>
      </c>
      <c r="H19" s="232">
        <f t="shared" si="3"/>
        <v>1.85</v>
      </c>
      <c r="I19" s="232">
        <f t="shared" si="4"/>
        <v>1874.12</v>
      </c>
      <c r="J19" s="236"/>
      <c r="K19" s="304"/>
    </row>
    <row r="20" spans="1:12" ht="15" hidden="1" customHeight="1">
      <c r="A20" s="233" t="str">
        <f>QUANT!A18</f>
        <v>3.3</v>
      </c>
      <c r="B20" s="231" t="str">
        <f>QUANT!B18</f>
        <v>COMP. 3.3 (74021/006)</v>
      </c>
      <c r="C20" s="231" t="str">
        <f>QUANT!C18</f>
        <v>PRÓPRIO</v>
      </c>
      <c r="D20" s="243" t="s">
        <v>165</v>
      </c>
      <c r="E20" s="231" t="str">
        <f>QUANT!E18</f>
        <v>m³</v>
      </c>
      <c r="F20" s="232">
        <f>QUANT!F18</f>
        <v>1350.71</v>
      </c>
      <c r="G20" s="232">
        <v>1.53</v>
      </c>
      <c r="H20" s="232">
        <f t="shared" si="3"/>
        <v>1.85</v>
      </c>
      <c r="I20" s="232">
        <f t="shared" si="4"/>
        <v>2498.81</v>
      </c>
      <c r="J20" s="236"/>
      <c r="K20" s="304"/>
      <c r="L20" s="241"/>
    </row>
    <row r="21" spans="1:12" ht="31.5" hidden="1">
      <c r="A21" s="233" t="str">
        <f>QUANT!A19</f>
        <v>3.4</v>
      </c>
      <c r="B21" s="231" t="str">
        <f>QUANT!B19</f>
        <v>COMP. 3.4 (74022/030)</v>
      </c>
      <c r="C21" s="231" t="str">
        <f>QUANT!C19</f>
        <v>PRÓPRIO</v>
      </c>
      <c r="D21" s="242" t="s">
        <v>171</v>
      </c>
      <c r="E21" s="231" t="str">
        <f>QUANT!E19</f>
        <v>un</v>
      </c>
      <c r="F21" s="232">
        <f>QUANT!F19</f>
        <v>9.39</v>
      </c>
      <c r="G21" s="232">
        <v>129.47</v>
      </c>
      <c r="H21" s="232">
        <f t="shared" si="3"/>
        <v>156.27000000000001</v>
      </c>
      <c r="I21" s="232">
        <f t="shared" si="4"/>
        <v>1467.38</v>
      </c>
      <c r="J21" s="236">
        <f>SUM(I18:I21)</f>
        <v>12121.119999999999</v>
      </c>
      <c r="K21" s="304"/>
    </row>
    <row r="22" spans="1:12" ht="15.75" hidden="1" customHeight="1">
      <c r="A22" s="233"/>
      <c r="B22" s="231"/>
      <c r="C22" s="231"/>
      <c r="D22" s="243"/>
      <c r="E22" s="231"/>
      <c r="F22" s="232"/>
      <c r="G22" s="232"/>
      <c r="H22" s="232"/>
      <c r="I22" s="232"/>
      <c r="J22" s="220"/>
      <c r="K22" s="304"/>
    </row>
    <row r="23" spans="1:12" ht="15" hidden="1" customHeight="1">
      <c r="A23" s="230" t="str">
        <f>QUANT!A21</f>
        <v>4.0</v>
      </c>
      <c r="B23" s="361"/>
      <c r="C23" s="361"/>
      <c r="D23" s="225" t="s">
        <v>3</v>
      </c>
      <c r="E23" s="231"/>
      <c r="F23" s="232"/>
      <c r="G23" s="232"/>
      <c r="H23" s="232"/>
      <c r="I23" s="232"/>
      <c r="J23" s="220"/>
      <c r="K23" s="304"/>
    </row>
    <row r="24" spans="1:12" ht="15.75" hidden="1">
      <c r="A24" s="233" t="str">
        <f>QUANT!A22</f>
        <v>4.1</v>
      </c>
      <c r="B24" s="231" t="str">
        <f>QUANT!B22</f>
        <v>COMP. 4.1 (73822/002)</v>
      </c>
      <c r="C24" s="231" t="str">
        <f>QUANT!C22</f>
        <v>PRÓPRIO</v>
      </c>
      <c r="D24" s="242" t="s">
        <v>107</v>
      </c>
      <c r="E24" s="231" t="str">
        <f>QUANT!E22</f>
        <v>m²</v>
      </c>
      <c r="F24" s="232">
        <f>QUANT!F22</f>
        <v>3009.12</v>
      </c>
      <c r="G24" s="232">
        <v>0.77</v>
      </c>
      <c r="H24" s="232">
        <f t="shared" ref="H24:H43" si="5">ROUND((G24*(1+($D$5))),2)</f>
        <v>0.93</v>
      </c>
      <c r="I24" s="232">
        <f t="shared" ref="I24:I30" si="6">ROUND(F24*H24,2)</f>
        <v>2798.48</v>
      </c>
      <c r="J24" s="220"/>
      <c r="K24" s="304"/>
    </row>
    <row r="25" spans="1:12" ht="31.5" hidden="1">
      <c r="A25" s="233" t="s">
        <v>230</v>
      </c>
      <c r="B25" s="231" t="str">
        <f>QUANT!B23</f>
        <v>COMP. 4.2 (74205/001)</v>
      </c>
      <c r="C25" s="231" t="str">
        <f>QUANT!C23</f>
        <v>PRÓPRIO</v>
      </c>
      <c r="D25" s="242" t="s">
        <v>218</v>
      </c>
      <c r="E25" s="231" t="str">
        <f>QUANT!E23</f>
        <v>m³</v>
      </c>
      <c r="F25" s="232">
        <f>QUANT!F23</f>
        <v>593.48</v>
      </c>
      <c r="G25" s="232">
        <v>2.2799999999999998</v>
      </c>
      <c r="H25" s="232">
        <f t="shared" si="5"/>
        <v>2.75</v>
      </c>
      <c r="I25" s="232">
        <f t="shared" si="6"/>
        <v>1632.07</v>
      </c>
      <c r="J25" s="220"/>
      <c r="K25" s="304"/>
    </row>
    <row r="26" spans="1:12" ht="31.5" hidden="1" customHeight="1">
      <c r="A26" s="233" t="s">
        <v>224</v>
      </c>
      <c r="B26" s="231" t="str">
        <f>QUANT!B24</f>
        <v xml:space="preserve"> 5502136 </v>
      </c>
      <c r="C26" s="231" t="str">
        <f>QUANT!C24</f>
        <v>SICRO 3</v>
      </c>
      <c r="D26" s="242" t="s">
        <v>236</v>
      </c>
      <c r="E26" s="231" t="str">
        <f>QUANT!E24</f>
        <v>m³</v>
      </c>
      <c r="F26" s="232">
        <f>QUANT!F24</f>
        <v>6.18</v>
      </c>
      <c r="G26" s="232">
        <v>6.08</v>
      </c>
      <c r="H26" s="232">
        <f t="shared" si="5"/>
        <v>7.34</v>
      </c>
      <c r="I26" s="232">
        <f t="shared" si="6"/>
        <v>45.36</v>
      </c>
      <c r="J26" s="220"/>
      <c r="K26" s="304"/>
    </row>
    <row r="27" spans="1:12" ht="15.75" hidden="1">
      <c r="A27" s="233" t="s">
        <v>217</v>
      </c>
      <c r="B27" s="231">
        <f>QUANT!B25</f>
        <v>5503041</v>
      </c>
      <c r="C27" s="231" t="str">
        <f>QUANT!C25</f>
        <v>SICRO 3</v>
      </c>
      <c r="D27" s="242" t="s">
        <v>225</v>
      </c>
      <c r="E27" s="231" t="str">
        <f>QUANT!E25</f>
        <v>m³</v>
      </c>
      <c r="F27" s="232">
        <f>QUANT!F25</f>
        <v>5.3800000000000008</v>
      </c>
      <c r="G27" s="232">
        <v>7.6</v>
      </c>
      <c r="H27" s="232">
        <f t="shared" si="5"/>
        <v>9.17</v>
      </c>
      <c r="I27" s="232">
        <f t="shared" si="6"/>
        <v>49.33</v>
      </c>
      <c r="J27" s="220"/>
      <c r="K27" s="304"/>
    </row>
    <row r="28" spans="1:12" ht="31.5" hidden="1">
      <c r="A28" s="233" t="s">
        <v>231</v>
      </c>
      <c r="B28" s="231">
        <f>QUANT!B26</f>
        <v>93595</v>
      </c>
      <c r="C28" s="231" t="str">
        <f>QUANT!C26</f>
        <v>SINAPI</v>
      </c>
      <c r="D28" s="242" t="s">
        <v>221</v>
      </c>
      <c r="E28" s="231" t="str">
        <f>QUANT!E26</f>
        <v>txkm</v>
      </c>
      <c r="F28" s="232">
        <f>QUANT!F26</f>
        <v>2184</v>
      </c>
      <c r="G28" s="232">
        <v>1.7</v>
      </c>
      <c r="H28" s="232">
        <f t="shared" si="5"/>
        <v>2.0499999999999998</v>
      </c>
      <c r="I28" s="232">
        <f t="shared" si="6"/>
        <v>4477.2</v>
      </c>
      <c r="J28" s="220"/>
      <c r="K28" s="304"/>
    </row>
    <row r="29" spans="1:12" ht="31.5" hidden="1">
      <c r="A29" s="233" t="str">
        <f>QUANT!A27</f>
        <v>4.6</v>
      </c>
      <c r="B29" s="231">
        <f>QUANT!B27</f>
        <v>95878</v>
      </c>
      <c r="C29" s="231" t="str">
        <f>QUANT!C27</f>
        <v>SINAPI</v>
      </c>
      <c r="D29" s="242" t="s">
        <v>222</v>
      </c>
      <c r="E29" s="231" t="str">
        <f>QUANT!E27</f>
        <v>txkm</v>
      </c>
      <c r="F29" s="232">
        <f>QUANT!F27</f>
        <v>7207.22</v>
      </c>
      <c r="G29" s="232">
        <v>1.56</v>
      </c>
      <c r="H29" s="232">
        <f t="shared" si="5"/>
        <v>1.88</v>
      </c>
      <c r="I29" s="232">
        <f t="shared" si="6"/>
        <v>13549.57</v>
      </c>
      <c r="J29" s="220"/>
      <c r="K29" s="304"/>
    </row>
    <row r="30" spans="1:12" ht="15.75" hidden="1">
      <c r="A30" s="233" t="str">
        <f>QUANT!A28</f>
        <v>4.7</v>
      </c>
      <c r="B30" s="231" t="str">
        <f>QUANT!B28</f>
        <v>COMP. 4.7 (83344)</v>
      </c>
      <c r="C30" s="231" t="str">
        <f>QUANT!C28</f>
        <v>PRÓPRIO</v>
      </c>
      <c r="D30" s="242" t="s">
        <v>223</v>
      </c>
      <c r="E30" s="231" t="str">
        <f>QUANT!E28</f>
        <v>m³</v>
      </c>
      <c r="F30" s="232">
        <f>QUANT!F28</f>
        <v>599.66</v>
      </c>
      <c r="G30" s="232">
        <v>1.26</v>
      </c>
      <c r="H30" s="232">
        <f t="shared" si="5"/>
        <v>1.52</v>
      </c>
      <c r="I30" s="232">
        <f t="shared" si="6"/>
        <v>911.48</v>
      </c>
      <c r="J30" s="236">
        <f>SUM(I24:I30)</f>
        <v>23463.489999999998</v>
      </c>
      <c r="K30" s="304"/>
    </row>
    <row r="31" spans="1:12" ht="15" hidden="1" customHeight="1">
      <c r="A31" s="233"/>
      <c r="B31" s="231"/>
      <c r="C31" s="231"/>
      <c r="D31" s="243"/>
      <c r="E31" s="231"/>
      <c r="F31" s="232"/>
      <c r="G31" s="232"/>
      <c r="H31" s="232"/>
      <c r="I31" s="232"/>
      <c r="J31" s="236"/>
      <c r="K31" s="304"/>
    </row>
    <row r="32" spans="1:12" ht="15" customHeight="1">
      <c r="A32" s="230" t="str">
        <f>QUANT!A30</f>
        <v>5.0</v>
      </c>
      <c r="B32" s="361"/>
      <c r="C32" s="361"/>
      <c r="D32" s="225" t="s">
        <v>5</v>
      </c>
      <c r="E32" s="231"/>
      <c r="F32" s="232"/>
      <c r="G32" s="232"/>
      <c r="H32" s="232"/>
      <c r="I32" s="232"/>
      <c r="J32" s="236"/>
      <c r="K32" s="304"/>
    </row>
    <row r="33" spans="1:13" ht="15" customHeight="1">
      <c r="A33" s="233" t="str">
        <f>QUANT!A31</f>
        <v>5.1</v>
      </c>
      <c r="B33" s="231" t="str">
        <f>QUANT!B31</f>
        <v xml:space="preserve"> 100576 </v>
      </c>
      <c r="C33" s="231" t="str">
        <f>QUANT!C31</f>
        <v>SINAPI</v>
      </c>
      <c r="D33" s="243" t="s">
        <v>108</v>
      </c>
      <c r="E33" s="231" t="str">
        <f>QUANT!E31</f>
        <v>m²</v>
      </c>
      <c r="F33" s="232">
        <f>QUANT!F31</f>
        <v>6753.5599999999995</v>
      </c>
      <c r="G33" s="232">
        <v>2.14</v>
      </c>
      <c r="H33" s="232">
        <f t="shared" si="5"/>
        <v>2.58</v>
      </c>
      <c r="I33" s="232">
        <f t="shared" ref="I33:I43" si="7">ROUND(F33*H33,2)</f>
        <v>17424.18</v>
      </c>
      <c r="J33" s="236"/>
      <c r="K33" s="304"/>
      <c r="M33" s="228"/>
    </row>
    <row r="34" spans="1:13" ht="15.75">
      <c r="A34" s="299" t="str">
        <f>QUANT!A32</f>
        <v>5.2</v>
      </c>
      <c r="B34" s="301" t="str">
        <f>QUANT!B32</f>
        <v>(M980) (S/C)</v>
      </c>
      <c r="C34" s="301" t="str">
        <f>QUANT!C32</f>
        <v>COTAÇÃO</v>
      </c>
      <c r="D34" s="300" t="s">
        <v>175</v>
      </c>
      <c r="E34" s="301" t="str">
        <f>QUANT!E32</f>
        <v>m³</v>
      </c>
      <c r="F34" s="302">
        <f>QUANT!F32</f>
        <v>2718.31</v>
      </c>
      <c r="G34" s="232">
        <v>12.5</v>
      </c>
      <c r="H34" s="302">
        <f>ROUND((G34*(1+($D$6))),2)</f>
        <v>14.41</v>
      </c>
      <c r="I34" s="302">
        <f t="shared" si="7"/>
        <v>39170.85</v>
      </c>
      <c r="J34" s="303"/>
      <c r="K34" s="304"/>
      <c r="M34" s="228"/>
    </row>
    <row r="35" spans="1:13" ht="31.5">
      <c r="A35" s="233" t="str">
        <f>QUANT!A33</f>
        <v>5.3</v>
      </c>
      <c r="B35" s="231">
        <f>QUANT!B33</f>
        <v>96388</v>
      </c>
      <c r="C35" s="231" t="str">
        <f>QUANT!C33</f>
        <v>SINAPI</v>
      </c>
      <c r="D35" s="242" t="s">
        <v>109</v>
      </c>
      <c r="E35" s="231" t="str">
        <f>QUANT!E33</f>
        <v>m³</v>
      </c>
      <c r="F35" s="232">
        <f>QUANT!F33</f>
        <v>1013.04</v>
      </c>
      <c r="G35" s="232">
        <v>10.49</v>
      </c>
      <c r="H35" s="232">
        <f t="shared" si="5"/>
        <v>12.66</v>
      </c>
      <c r="I35" s="232">
        <f t="shared" si="7"/>
        <v>12825.09</v>
      </c>
      <c r="J35" s="236"/>
      <c r="K35" s="304"/>
      <c r="M35" s="228"/>
    </row>
    <row r="36" spans="1:13" ht="31.5">
      <c r="A36" s="233" t="str">
        <f>QUANT!A34</f>
        <v>5.4</v>
      </c>
      <c r="B36" s="231">
        <f>QUANT!B34</f>
        <v>96388</v>
      </c>
      <c r="C36" s="231" t="str">
        <f>QUANT!C34</f>
        <v>SINAPI</v>
      </c>
      <c r="D36" s="242" t="s">
        <v>110</v>
      </c>
      <c r="E36" s="231" t="str">
        <f>QUANT!E34</f>
        <v>m³</v>
      </c>
      <c r="F36" s="232">
        <f>QUANT!F34</f>
        <v>1350.71</v>
      </c>
      <c r="G36" s="232">
        <v>10.49</v>
      </c>
      <c r="H36" s="232">
        <f t="shared" si="5"/>
        <v>12.66</v>
      </c>
      <c r="I36" s="232">
        <f t="shared" si="7"/>
        <v>17099.990000000002</v>
      </c>
      <c r="J36" s="236"/>
      <c r="K36" s="304"/>
      <c r="M36" s="228"/>
    </row>
    <row r="37" spans="1:13" ht="31.5">
      <c r="A37" s="339" t="str">
        <f>QUANT!A35</f>
        <v>5.5</v>
      </c>
      <c r="B37" s="371">
        <v>96401</v>
      </c>
      <c r="C37" s="242" t="s">
        <v>192</v>
      </c>
      <c r="D37" s="242" t="s">
        <v>319</v>
      </c>
      <c r="E37" s="340" t="str">
        <f>QUANT!E35</f>
        <v>m²</v>
      </c>
      <c r="F37" s="341">
        <f>QUANT!F35</f>
        <v>5209.88</v>
      </c>
      <c r="G37" s="232">
        <v>5.37</v>
      </c>
      <c r="H37" s="341">
        <f t="shared" si="5"/>
        <v>6.48</v>
      </c>
      <c r="I37" s="341">
        <f t="shared" si="7"/>
        <v>33760.019999999997</v>
      </c>
      <c r="J37" s="342"/>
      <c r="K37" s="304"/>
      <c r="M37" s="228"/>
    </row>
    <row r="38" spans="1:13" ht="33" customHeight="1">
      <c r="A38" s="339" t="str">
        <f>QUANT!A36</f>
        <v>5.6</v>
      </c>
      <c r="B38" s="371">
        <v>96402</v>
      </c>
      <c r="C38" s="242" t="s">
        <v>192</v>
      </c>
      <c r="D38" s="242" t="s">
        <v>320</v>
      </c>
      <c r="E38" s="340" t="str">
        <f>QUANT!E36</f>
        <v>m²</v>
      </c>
      <c r="F38" s="341">
        <f>QUANT!F36</f>
        <v>5209.88</v>
      </c>
      <c r="G38" s="232">
        <v>2.23</v>
      </c>
      <c r="H38" s="341">
        <f t="shared" si="5"/>
        <v>2.69</v>
      </c>
      <c r="I38" s="341">
        <f t="shared" si="7"/>
        <v>14014.58</v>
      </c>
      <c r="J38" s="342"/>
      <c r="K38" s="304"/>
      <c r="M38" s="228"/>
    </row>
    <row r="39" spans="1:13" ht="31.5">
      <c r="A39" s="233" t="str">
        <f>QUANT!A37</f>
        <v>5.7</v>
      </c>
      <c r="B39" s="231">
        <f>QUANT!B37</f>
        <v>95995</v>
      </c>
      <c r="C39" s="231" t="str">
        <f>QUANT!C37</f>
        <v>SINAPI</v>
      </c>
      <c r="D39" s="300" t="s">
        <v>183</v>
      </c>
      <c r="E39" s="231" t="str">
        <f>QUANT!E37</f>
        <v>m³</v>
      </c>
      <c r="F39" s="232">
        <f>QUANT!F37</f>
        <v>208.39</v>
      </c>
      <c r="G39" s="232">
        <v>1443.74</v>
      </c>
      <c r="H39" s="232">
        <f t="shared" si="5"/>
        <v>1742.59</v>
      </c>
      <c r="I39" s="232">
        <f t="shared" si="7"/>
        <v>363138.33</v>
      </c>
      <c r="J39" s="236"/>
      <c r="K39" s="304"/>
      <c r="M39" s="228"/>
    </row>
    <row r="40" spans="1:13" ht="31.5">
      <c r="A40" s="233" t="str">
        <f>QUANT!A38</f>
        <v>5.8</v>
      </c>
      <c r="B40" s="231" t="str">
        <f>QUANT!B38</f>
        <v>COMP. 5.8 (72891)</v>
      </c>
      <c r="C40" s="231" t="str">
        <f>QUANT!C38</f>
        <v>PRÓPRIO</v>
      </c>
      <c r="D40" s="300" t="s">
        <v>238</v>
      </c>
      <c r="E40" s="231" t="str">
        <f>QUANT!E38</f>
        <v>m³</v>
      </c>
      <c r="F40" s="232">
        <f>QUANT!F38</f>
        <v>208.39</v>
      </c>
      <c r="G40" s="232">
        <v>6.73</v>
      </c>
      <c r="H40" s="232">
        <f t="shared" si="5"/>
        <v>8.1199999999999992</v>
      </c>
      <c r="I40" s="232">
        <f t="shared" si="7"/>
        <v>1692.13</v>
      </c>
      <c r="J40" s="236"/>
      <c r="K40" s="304"/>
      <c r="M40" s="228"/>
    </row>
    <row r="41" spans="1:13" ht="31.5">
      <c r="A41" s="233" t="str">
        <f>QUANT!A39</f>
        <v>5.9</v>
      </c>
      <c r="B41" s="231">
        <f>QUANT!B39</f>
        <v>93595</v>
      </c>
      <c r="C41" s="231" t="str">
        <f>QUANT!C39</f>
        <v>SINAPI</v>
      </c>
      <c r="D41" s="300" t="s">
        <v>209</v>
      </c>
      <c r="E41" s="231" t="str">
        <f>QUANT!E39</f>
        <v>txkm</v>
      </c>
      <c r="F41" s="232">
        <f>QUANT!F39</f>
        <v>8698.6</v>
      </c>
      <c r="G41" s="232">
        <v>1.7</v>
      </c>
      <c r="H41" s="232">
        <f t="shared" si="5"/>
        <v>2.0499999999999998</v>
      </c>
      <c r="I41" s="232">
        <f t="shared" si="7"/>
        <v>17832.13</v>
      </c>
      <c r="J41" s="236"/>
      <c r="K41" s="304"/>
      <c r="M41" s="228"/>
    </row>
    <row r="42" spans="1:13" ht="31.5">
      <c r="A42" s="233" t="str">
        <f>QUANT!A40</f>
        <v>5.10</v>
      </c>
      <c r="B42" s="231">
        <f>QUANT!B40</f>
        <v>95878</v>
      </c>
      <c r="C42" s="231" t="str">
        <f>QUANT!C40</f>
        <v>SINAPI</v>
      </c>
      <c r="D42" s="300" t="s">
        <v>207</v>
      </c>
      <c r="E42" s="231" t="str">
        <f>QUANT!E40</f>
        <v>txkm</v>
      </c>
      <c r="F42" s="232">
        <f>QUANT!F40</f>
        <v>28705.38</v>
      </c>
      <c r="G42" s="232">
        <v>1.56</v>
      </c>
      <c r="H42" s="232">
        <f t="shared" si="5"/>
        <v>1.88</v>
      </c>
      <c r="I42" s="232">
        <f t="shared" si="7"/>
        <v>53966.11</v>
      </c>
      <c r="J42" s="236"/>
      <c r="K42" s="304"/>
      <c r="M42" s="228"/>
    </row>
    <row r="43" spans="1:13" ht="15.75">
      <c r="A43" s="233" t="str">
        <f>QUANT!A41</f>
        <v>5.11</v>
      </c>
      <c r="B43" s="231" t="str">
        <f>QUANT!B41</f>
        <v>COMP. 5.11 (95303)</v>
      </c>
      <c r="C43" s="231" t="str">
        <f>QUANT!C41</f>
        <v>PRÓPRIO</v>
      </c>
      <c r="D43" s="300" t="s">
        <v>233</v>
      </c>
      <c r="E43" s="231" t="str">
        <f>QUANT!E41</f>
        <v>m³xkm</v>
      </c>
      <c r="F43" s="232">
        <f>QUANT!F41</f>
        <v>4542.8999999999996</v>
      </c>
      <c r="G43" s="232">
        <v>1.53</v>
      </c>
      <c r="H43" s="232">
        <f t="shared" si="5"/>
        <v>1.85</v>
      </c>
      <c r="I43" s="232">
        <f t="shared" si="7"/>
        <v>8404.3700000000008</v>
      </c>
      <c r="J43" s="236">
        <f>SUM(I33:I43)</f>
        <v>579327.78</v>
      </c>
      <c r="K43" s="304"/>
      <c r="M43" s="228"/>
    </row>
    <row r="44" spans="1:13" ht="15" customHeight="1">
      <c r="A44" s="233"/>
      <c r="B44" s="231"/>
      <c r="C44" s="231"/>
      <c r="D44" s="243"/>
      <c r="E44" s="231"/>
      <c r="F44" s="266"/>
      <c r="G44" s="232"/>
      <c r="H44" s="232"/>
      <c r="I44" s="232"/>
      <c r="J44" s="220"/>
      <c r="K44" s="304"/>
      <c r="M44" s="228"/>
    </row>
    <row r="45" spans="1:13" ht="15" customHeight="1">
      <c r="A45" s="230" t="str">
        <f>QUANT!A43</f>
        <v>6.0</v>
      </c>
      <c r="B45" s="361"/>
      <c r="C45" s="361"/>
      <c r="D45" s="225" t="s">
        <v>112</v>
      </c>
      <c r="E45" s="231"/>
      <c r="F45" s="232"/>
      <c r="G45" s="232"/>
      <c r="H45" s="232"/>
      <c r="I45" s="232"/>
      <c r="J45" s="220"/>
      <c r="K45" s="304"/>
    </row>
    <row r="46" spans="1:13" ht="31.5">
      <c r="A46" s="233" t="str">
        <f>QUANT!A44</f>
        <v>6.1</v>
      </c>
      <c r="B46" s="231" t="str">
        <f>QUANT!B44</f>
        <v>COMP. 6.1 (72947)</v>
      </c>
      <c r="C46" s="231" t="str">
        <f>QUANT!C44</f>
        <v>PRÓPRIO</v>
      </c>
      <c r="D46" s="362" t="s">
        <v>114</v>
      </c>
      <c r="E46" s="231" t="str">
        <f>QUANT!E44</f>
        <v>m²</v>
      </c>
      <c r="F46" s="232">
        <f>QUANT!F44</f>
        <v>248.87</v>
      </c>
      <c r="G46" s="232">
        <v>15.85</v>
      </c>
      <c r="H46" s="232">
        <f t="shared" ref="H46:H49" si="8">ROUND((G46*(1+($D$5))),2)</f>
        <v>19.13</v>
      </c>
      <c r="I46" s="232">
        <f t="shared" ref="I46:I49" si="9">ROUND(F46*H46,2)</f>
        <v>4760.88</v>
      </c>
      <c r="J46" s="220"/>
      <c r="K46" s="304"/>
    </row>
    <row r="47" spans="1:13" ht="15" customHeight="1">
      <c r="A47" s="233" t="str">
        <f>QUANT!A45</f>
        <v>6.2</v>
      </c>
      <c r="B47" s="231">
        <f>QUANT!B45</f>
        <v>5213405</v>
      </c>
      <c r="C47" s="231" t="str">
        <f>QUANT!C45</f>
        <v>SICRO 3</v>
      </c>
      <c r="D47" s="243" t="s">
        <v>189</v>
      </c>
      <c r="E47" s="231" t="str">
        <f>QUANT!E45</f>
        <v>m²</v>
      </c>
      <c r="F47" s="232">
        <f>QUANT!F45</f>
        <v>35.01</v>
      </c>
      <c r="G47" s="232">
        <v>47.67</v>
      </c>
      <c r="H47" s="232">
        <f t="shared" si="8"/>
        <v>57.54</v>
      </c>
      <c r="I47" s="232">
        <f t="shared" si="9"/>
        <v>2014.48</v>
      </c>
      <c r="J47" s="220"/>
      <c r="K47" s="304"/>
    </row>
    <row r="48" spans="1:13" ht="15.75">
      <c r="A48" s="233" t="str">
        <f>QUANT!A46</f>
        <v>6.3</v>
      </c>
      <c r="B48" s="231">
        <f>QUANT!B46</f>
        <v>5213417</v>
      </c>
      <c r="C48" s="231" t="str">
        <f>QUANT!C46</f>
        <v>SICRO 3</v>
      </c>
      <c r="D48" s="242" t="s">
        <v>188</v>
      </c>
      <c r="E48" s="231" t="str">
        <f>QUANT!E46</f>
        <v>m²</v>
      </c>
      <c r="F48" s="232">
        <f>QUANT!F46</f>
        <v>2.2599999999999998</v>
      </c>
      <c r="G48" s="232">
        <v>451.55</v>
      </c>
      <c r="H48" s="232">
        <f t="shared" si="8"/>
        <v>545.02</v>
      </c>
      <c r="I48" s="232">
        <f t="shared" si="9"/>
        <v>1231.75</v>
      </c>
      <c r="J48" s="236"/>
      <c r="K48" s="304"/>
    </row>
    <row r="49" spans="1:15" ht="31.5">
      <c r="A49" s="233" t="str">
        <f>QUANT!A47</f>
        <v>6.4</v>
      </c>
      <c r="B49" s="231">
        <f>QUANT!B47</f>
        <v>5213855</v>
      </c>
      <c r="C49" s="231" t="str">
        <f>QUANT!C47</f>
        <v>SICRO 3</v>
      </c>
      <c r="D49" s="242" t="s">
        <v>200</v>
      </c>
      <c r="E49" s="231" t="str">
        <f>QUANT!E47</f>
        <v>unid</v>
      </c>
      <c r="F49" s="232">
        <f>QUANT!F47</f>
        <v>9</v>
      </c>
      <c r="G49" s="232">
        <v>374.69</v>
      </c>
      <c r="H49" s="232">
        <f t="shared" si="8"/>
        <v>452.25</v>
      </c>
      <c r="I49" s="232">
        <f t="shared" si="9"/>
        <v>4070.25</v>
      </c>
      <c r="J49" s="236">
        <f>SUM(I46:I49)</f>
        <v>12077.36</v>
      </c>
      <c r="K49" s="228"/>
    </row>
    <row r="50" spans="1:15" ht="15" customHeight="1">
      <c r="A50" s="233"/>
      <c r="B50" s="231"/>
      <c r="C50" s="231"/>
      <c r="D50" s="243"/>
      <c r="E50" s="231"/>
      <c r="F50" s="232"/>
      <c r="G50" s="232"/>
      <c r="H50" s="232"/>
      <c r="I50" s="232"/>
      <c r="J50" s="220"/>
      <c r="K50" s="228"/>
      <c r="M50" s="217"/>
      <c r="N50" s="217"/>
      <c r="O50" s="217"/>
    </row>
    <row r="51" spans="1:15" ht="15" customHeight="1">
      <c r="A51" s="230" t="str">
        <f>QUANT!A49</f>
        <v>7.0</v>
      </c>
      <c r="B51" s="361"/>
      <c r="C51" s="361"/>
      <c r="D51" s="225" t="s">
        <v>9</v>
      </c>
      <c r="E51" s="231"/>
      <c r="F51" s="232"/>
      <c r="G51" s="232"/>
      <c r="H51" s="232"/>
      <c r="I51" s="232"/>
      <c r="J51" s="220"/>
      <c r="K51" s="228"/>
      <c r="M51" s="238"/>
      <c r="N51" s="238"/>
      <c r="O51" s="238"/>
    </row>
    <row r="52" spans="1:15" ht="36.75" customHeight="1">
      <c r="A52" s="231" t="str">
        <f>QUANT!A50</f>
        <v>7.1</v>
      </c>
      <c r="B52" s="231">
        <f>QUANT!B50</f>
        <v>94267</v>
      </c>
      <c r="C52" s="231" t="str">
        <f>QUANT!C50</f>
        <v>SINAPI</v>
      </c>
      <c r="D52" s="362" t="str">
        <f>QUANT!D50</f>
        <v>Guia (meio-fio) e sarjeta conjugados de concreto, moldada i n loco em trecho
reto com extrusora, guia 13 cm base x 22 cm altura. af_06/2016</v>
      </c>
      <c r="E52" s="231" t="str">
        <f>QUANT!E50</f>
        <v>m</v>
      </c>
      <c r="F52" s="231">
        <f>QUANT!F50</f>
        <v>1789.58</v>
      </c>
      <c r="G52" s="232">
        <v>57.97</v>
      </c>
      <c r="H52" s="232">
        <f t="shared" ref="H52:H53" si="10">ROUND((G52*(1+($D$5))),2)</f>
        <v>69.97</v>
      </c>
      <c r="I52" s="232">
        <f t="shared" ref="I52:I53" si="11">ROUND(F52*H52,2)</f>
        <v>125216.91</v>
      </c>
      <c r="J52" s="220"/>
      <c r="K52" s="228"/>
      <c r="M52" s="238"/>
      <c r="N52" s="238"/>
      <c r="O52" s="238"/>
    </row>
    <row r="53" spans="1:15" ht="31.5">
      <c r="A53" s="231" t="str">
        <f>QUANT!A51</f>
        <v>7.2</v>
      </c>
      <c r="B53" s="231">
        <f>QUANT!B51</f>
        <v>94268</v>
      </c>
      <c r="C53" s="231" t="str">
        <f>QUANT!C51</f>
        <v>SINAPI</v>
      </c>
      <c r="D53" s="362" t="str">
        <f>QUANT!D51</f>
        <v>Guia (meio-fio) e sarjeta conjugados de concreto, moldada i n loco em trecho
curvo com extrusora, guia 13 cm base x 22 cm altura. af_06/2016</v>
      </c>
      <c r="E53" s="231" t="str">
        <f>QUANT!E51</f>
        <v>m</v>
      </c>
      <c r="F53" s="231">
        <f>QUANT!F51</f>
        <v>90</v>
      </c>
      <c r="G53" s="232">
        <v>61.9</v>
      </c>
      <c r="H53" s="232">
        <f t="shared" si="10"/>
        <v>74.709999999999994</v>
      </c>
      <c r="I53" s="232">
        <f t="shared" si="11"/>
        <v>6723.9</v>
      </c>
      <c r="J53" s="220"/>
      <c r="K53" s="228"/>
      <c r="M53" s="238"/>
      <c r="N53" s="238"/>
      <c r="O53" s="238"/>
    </row>
    <row r="54" spans="1:15" ht="31.5">
      <c r="A54" s="231" t="str">
        <f>QUANT!A52</f>
        <v>7.3</v>
      </c>
      <c r="B54" s="231">
        <f>QUANT!B52</f>
        <v>94991</v>
      </c>
      <c r="C54" s="231" t="str">
        <f>QUANT!C52</f>
        <v>SINAPI</v>
      </c>
      <c r="D54" s="362" t="str">
        <f>QUANT!D52</f>
        <v>Execução de passeio (calçada) ou piso de concreto com concreto moldado in loco, usinado, acabamento convencional, não armado. Af_07/2016</v>
      </c>
      <c r="E54" s="231" t="str">
        <f>QUANT!E52</f>
        <v>m³</v>
      </c>
      <c r="F54" s="231">
        <f>QUANT!F52</f>
        <v>166.73</v>
      </c>
      <c r="G54" s="232">
        <v>840.62</v>
      </c>
      <c r="H54" s="341">
        <f t="shared" ref="H54" si="12">ROUND((G54*(1+($D$5))),2)</f>
        <v>1014.63</v>
      </c>
      <c r="I54" s="341">
        <f t="shared" ref="I54" si="13">ROUND(F54*H54,2)</f>
        <v>169169.26</v>
      </c>
      <c r="J54" s="344"/>
      <c r="K54" s="228"/>
      <c r="M54" s="238"/>
      <c r="N54" s="238"/>
      <c r="O54" s="238"/>
    </row>
    <row r="55" spans="1:15" ht="15.75" customHeight="1">
      <c r="A55" s="231" t="str">
        <f>QUANT!A53</f>
        <v>7.4</v>
      </c>
      <c r="B55" s="231">
        <f>QUANT!B53</f>
        <v>101094</v>
      </c>
      <c r="C55" s="231" t="str">
        <f>QUANT!C53</f>
        <v>SINAPI</v>
      </c>
      <c r="D55" s="369" t="str">
        <f>QUANT!D53</f>
        <v>Piso podotátil, direcional ou alerta, assentado sobre argamassa AF 05/2020</v>
      </c>
      <c r="E55" s="231" t="str">
        <f>QUANT!E53</f>
        <v>m</v>
      </c>
      <c r="F55" s="231">
        <f>QUANT!F53</f>
        <v>1852.59</v>
      </c>
      <c r="G55" s="232">
        <v>207.95</v>
      </c>
      <c r="H55" s="341">
        <f t="shared" ref="H55" si="14">ROUND((G55*(1+($D$5))),2)</f>
        <v>251</v>
      </c>
      <c r="I55" s="341">
        <f t="shared" ref="I55" si="15">ROUND(F55*H55,2)</f>
        <v>465000.09</v>
      </c>
      <c r="J55" s="344"/>
      <c r="K55" s="228"/>
      <c r="M55" s="238"/>
      <c r="N55" s="238"/>
      <c r="O55" s="238"/>
    </row>
    <row r="56" spans="1:15" s="244" customFormat="1" ht="15.75">
      <c r="A56" s="231" t="str">
        <f>QUANT!A54</f>
        <v>7.5</v>
      </c>
      <c r="B56" s="231" t="str">
        <f>QUANT!B54</f>
        <v>COMP. 7.3 (73916/002)</v>
      </c>
      <c r="C56" s="231" t="str">
        <f>QUANT!C54</f>
        <v>PRÓPRIO</v>
      </c>
      <c r="D56" s="362" t="str">
        <f>QUANT!D54</f>
        <v>Placa esmaltada para identificação NR de Rua, dimensões 45X25cm</v>
      </c>
      <c r="E56" s="231" t="str">
        <f>QUANT!E54</f>
        <v>unid</v>
      </c>
      <c r="F56" s="358">
        <f>QUANT!F54</f>
        <v>9</v>
      </c>
      <c r="G56" s="232">
        <v>148.33000000000001</v>
      </c>
      <c r="H56" s="232">
        <f>ROUND((G56*(1+($D$5))),2)</f>
        <v>179.03</v>
      </c>
      <c r="I56" s="232">
        <f>ROUND(F56*H56,2)</f>
        <v>1611.27</v>
      </c>
      <c r="J56" s="236">
        <f>SUM(I52:I56)</f>
        <v>767721.43</v>
      </c>
      <c r="K56" s="228"/>
    </row>
    <row r="57" spans="1:15" ht="15" customHeight="1">
      <c r="A57" s="231"/>
      <c r="B57" s="231"/>
      <c r="C57" s="231"/>
      <c r="D57" s="362"/>
      <c r="E57" s="231"/>
      <c r="F57" s="231"/>
      <c r="G57" s="232"/>
      <c r="H57" s="232"/>
      <c r="I57" s="232"/>
      <c r="J57" s="220"/>
      <c r="K57" s="305"/>
    </row>
    <row r="58" spans="1:15" ht="15" customHeight="1" thickBot="1">
      <c r="A58" s="245"/>
      <c r="B58" s="366"/>
      <c r="C58" s="366"/>
      <c r="D58" s="367"/>
      <c r="E58" s="366"/>
      <c r="F58" s="246"/>
      <c r="G58" s="246"/>
      <c r="H58" s="246"/>
      <c r="I58" s="271" t="s">
        <v>15</v>
      </c>
      <c r="J58" s="368">
        <f>SUM(J9:J57)</f>
        <v>1466920.6300000001</v>
      </c>
      <c r="K58" s="228"/>
      <c r="L58" s="247"/>
      <c r="N58" s="248"/>
    </row>
    <row r="59" spans="1:15" ht="15" customHeight="1">
      <c r="F59" s="248">
        <f>SUM(F9:F58)</f>
        <v>91603.449999999968</v>
      </c>
    </row>
    <row r="60" spans="1:15" ht="15" customHeight="1">
      <c r="F60" s="248">
        <f>QUANT!F56</f>
        <v>91603.449999999968</v>
      </c>
      <c r="G60" s="248"/>
      <c r="J60" s="250"/>
    </row>
    <row r="61" spans="1:15" ht="15" customHeight="1">
      <c r="F61" s="248">
        <f>F59-F60</f>
        <v>0</v>
      </c>
      <c r="G61" s="248"/>
    </row>
    <row r="62" spans="1:15" ht="15" customHeight="1">
      <c r="J62" s="252"/>
    </row>
    <row r="66" spans="10:10" ht="15" customHeight="1">
      <c r="J66" s="218"/>
    </row>
  </sheetData>
  <customSheetViews>
    <customSheetView guid="{E8D46A29-8D28-49CA-936A-9705D639E1C7}">
      <selection activeCell="H4" sqref="H4"/>
      <pageMargins left="0.39370078740157483" right="0.39370078740157483" top="0.98425196850393704" bottom="0.39370078740157483" header="0.51181102362204722" footer="0.51181102362204722"/>
      <printOptions horizontalCentered="1"/>
      <pageSetup paperSize="9" scale="75" orientation="portrait" r:id="rId1"/>
      <headerFooter alignWithMargins="0"/>
    </customSheetView>
  </customSheetViews>
  <mergeCells count="9">
    <mergeCell ref="A6:C6"/>
    <mergeCell ref="D1:I1"/>
    <mergeCell ref="D3:I3"/>
    <mergeCell ref="J1:J2"/>
    <mergeCell ref="D2:I2"/>
    <mergeCell ref="E5:F5"/>
    <mergeCell ref="D4:I4"/>
    <mergeCell ref="A1:C4"/>
    <mergeCell ref="A5:C5"/>
  </mergeCells>
  <phoneticPr fontId="0" type="noConversion"/>
  <printOptions horizontalCentered="1"/>
  <pageMargins left="0.39370078740157483" right="0.19685039370078741" top="0.98425196850393704" bottom="0.39370078740157483" header="0.51181102362204722" footer="0.51181102362204722"/>
  <pageSetup paperSize="9" fitToWidth="4" fitToHeight="0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3"/>
  <dimension ref="A1:J34"/>
  <sheetViews>
    <sheetView topLeftCell="A16" zoomScale="90" zoomScaleNormal="90" workbookViewId="0">
      <selection activeCell="B35" sqref="B35"/>
    </sheetView>
  </sheetViews>
  <sheetFormatPr defaultRowHeight="14.25" customHeight="1"/>
  <cols>
    <col min="1" max="1" width="18.85546875" customWidth="1"/>
    <col min="2" max="2" width="59" style="308" customWidth="1"/>
    <col min="3" max="3" width="12.7109375" customWidth="1"/>
    <col min="4" max="4" width="12.140625" customWidth="1"/>
    <col min="5" max="5" width="8" customWidth="1"/>
    <col min="6" max="6" width="13.42578125" bestFit="1" customWidth="1"/>
    <col min="8" max="8" width="12.85546875" customWidth="1"/>
    <col min="9" max="9" width="9.28515625" bestFit="1" customWidth="1"/>
    <col min="10" max="10" width="21.5703125" customWidth="1"/>
  </cols>
  <sheetData>
    <row r="1" spans="1:10" ht="23.25" customHeight="1">
      <c r="A1" s="164" t="str">
        <f>QUANT!A3</f>
        <v>LOGRADOUROS</v>
      </c>
      <c r="B1" s="309" t="str">
        <f>RESUMO!B35</f>
        <v>Ruas: Jataí, Nereu Botelho e Carlos Gomes</v>
      </c>
      <c r="C1" s="165"/>
      <c r="D1" s="165"/>
      <c r="E1" s="165"/>
      <c r="F1" s="165"/>
      <c r="G1" s="165"/>
      <c r="H1" s="165"/>
      <c r="I1" s="165"/>
      <c r="J1" s="166"/>
    </row>
    <row r="2" spans="1:10" ht="23.25" customHeight="1">
      <c r="A2" s="167" t="str">
        <f>'ORÇA '!A23</f>
        <v>4.0</v>
      </c>
      <c r="B2" s="310" t="str">
        <f>'ORÇA '!D23</f>
        <v>TERRAPLENAGEM</v>
      </c>
      <c r="C2" s="137"/>
      <c r="D2" s="137"/>
      <c r="E2" s="137"/>
      <c r="F2" s="137"/>
      <c r="G2" s="137"/>
      <c r="H2" s="137"/>
      <c r="I2" s="137"/>
      <c r="J2" s="168"/>
    </row>
    <row r="3" spans="1:10" ht="23.25" customHeight="1">
      <c r="A3" s="178" t="s">
        <v>205</v>
      </c>
      <c r="B3" s="311"/>
      <c r="C3" s="179"/>
      <c r="D3" s="179"/>
      <c r="E3" s="179"/>
      <c r="F3" s="179"/>
      <c r="G3" s="179"/>
      <c r="H3" s="180"/>
      <c r="I3" s="181"/>
      <c r="J3" s="176"/>
    </row>
    <row r="4" spans="1:10" ht="36">
      <c r="A4" s="169" t="s">
        <v>16</v>
      </c>
      <c r="B4" s="138" t="s">
        <v>17</v>
      </c>
      <c r="C4" s="138" t="s">
        <v>18</v>
      </c>
      <c r="D4" s="138" t="s">
        <v>12</v>
      </c>
      <c r="E4" s="138" t="s">
        <v>19</v>
      </c>
      <c r="F4" s="140" t="s">
        <v>20</v>
      </c>
      <c r="G4" s="140"/>
      <c r="H4" s="139" t="s">
        <v>21</v>
      </c>
      <c r="I4" s="138" t="s">
        <v>22</v>
      </c>
      <c r="J4" s="170" t="s">
        <v>23</v>
      </c>
    </row>
    <row r="5" spans="1:10" ht="23.25" customHeight="1">
      <c r="A5" s="169"/>
      <c r="B5" s="138"/>
      <c r="C5" s="138"/>
      <c r="D5" s="138"/>
      <c r="E5" s="138"/>
      <c r="F5" s="140" t="s">
        <v>24</v>
      </c>
      <c r="G5" s="140" t="s">
        <v>11</v>
      </c>
      <c r="H5" s="139"/>
      <c r="I5" s="138"/>
      <c r="J5" s="170"/>
    </row>
    <row r="6" spans="1:10" ht="25.5" customHeight="1">
      <c r="A6" s="171" t="str">
        <f>QUANT!B23</f>
        <v>COMP. 4.2 (74205/001)</v>
      </c>
      <c r="B6" s="163" t="str">
        <f>QUANT!D23</f>
        <v>Escavacao mecanica de material 1a. categoria, proveniente de corte de subleito (c/trator esteiras 160hp)</v>
      </c>
      <c r="C6" s="140" t="s">
        <v>25</v>
      </c>
      <c r="D6" s="85">
        <f>QUANT!F23</f>
        <v>593.48</v>
      </c>
      <c r="E6" s="140" t="s">
        <v>4</v>
      </c>
      <c r="F6" s="140">
        <v>1.84</v>
      </c>
      <c r="G6" s="140" t="s">
        <v>204</v>
      </c>
      <c r="H6" s="144">
        <f>D6*F6</f>
        <v>1092.0032000000001</v>
      </c>
      <c r="I6" s="140">
        <v>2</v>
      </c>
      <c r="J6" s="176">
        <f>H6*I6</f>
        <v>2184.0064000000002</v>
      </c>
    </row>
    <row r="7" spans="1:10" ht="14.25" customHeight="1">
      <c r="A7" s="171" t="s">
        <v>15</v>
      </c>
      <c r="B7" s="162"/>
      <c r="C7" s="181"/>
      <c r="D7" s="181"/>
      <c r="E7" s="181"/>
      <c r="F7" s="181"/>
      <c r="G7" s="181"/>
      <c r="H7" s="181"/>
      <c r="I7" s="181"/>
      <c r="J7" s="182">
        <f>SUM(J6:J6)</f>
        <v>2184.0064000000002</v>
      </c>
    </row>
    <row r="8" spans="1:10" ht="23.25" customHeight="1">
      <c r="A8" s="183"/>
      <c r="B8" s="312"/>
      <c r="C8" s="184"/>
      <c r="D8" s="184"/>
      <c r="E8" s="184"/>
      <c r="F8" s="184"/>
      <c r="G8" s="184"/>
      <c r="H8" s="184"/>
      <c r="I8" s="184"/>
      <c r="J8" s="185"/>
    </row>
    <row r="9" spans="1:10" ht="14.25" customHeight="1">
      <c r="A9" s="178" t="s">
        <v>206</v>
      </c>
      <c r="B9" s="311"/>
      <c r="C9" s="179"/>
      <c r="D9" s="179"/>
      <c r="E9" s="179"/>
      <c r="F9" s="179"/>
      <c r="G9" s="179"/>
      <c r="H9" s="180"/>
      <c r="I9" s="181"/>
      <c r="J9" s="176"/>
    </row>
    <row r="10" spans="1:10" ht="34.5" customHeight="1">
      <c r="A10" s="169" t="s">
        <v>16</v>
      </c>
      <c r="B10" s="138" t="s">
        <v>17</v>
      </c>
      <c r="C10" s="138" t="s">
        <v>18</v>
      </c>
      <c r="D10" s="138" t="s">
        <v>12</v>
      </c>
      <c r="E10" s="138" t="s">
        <v>19</v>
      </c>
      <c r="F10" s="140" t="s">
        <v>20</v>
      </c>
      <c r="G10" s="140"/>
      <c r="H10" s="139" t="s">
        <v>21</v>
      </c>
      <c r="I10" s="138" t="s">
        <v>22</v>
      </c>
      <c r="J10" s="170" t="s">
        <v>196</v>
      </c>
    </row>
    <row r="11" spans="1:10" ht="22.5" customHeight="1">
      <c r="A11" s="169"/>
      <c r="B11" s="138"/>
      <c r="C11" s="138"/>
      <c r="D11" s="138"/>
      <c r="E11" s="138"/>
      <c r="F11" s="140" t="s">
        <v>24</v>
      </c>
      <c r="G11" s="140" t="s">
        <v>11</v>
      </c>
      <c r="H11" s="139"/>
      <c r="I11" s="138"/>
      <c r="J11" s="170"/>
    </row>
    <row r="12" spans="1:10" ht="24" customHeight="1">
      <c r="A12" s="171" t="str">
        <f>QUANT!B23</f>
        <v>COMP. 4.2 (74205/001)</v>
      </c>
      <c r="B12" s="163" t="str">
        <f>QUANT!D23</f>
        <v>Escavacao mecanica de material 1a. categoria, proveniente de corte de subleito (c/trator esteiras 160hp)</v>
      </c>
      <c r="C12" s="140" t="s">
        <v>25</v>
      </c>
      <c r="D12" s="85">
        <f>QUANT!F23</f>
        <v>593.48</v>
      </c>
      <c r="E12" s="140" t="s">
        <v>4</v>
      </c>
      <c r="F12" s="140">
        <v>1.84</v>
      </c>
      <c r="G12" s="140" t="s">
        <v>4</v>
      </c>
      <c r="H12" s="144">
        <f>D12*F12</f>
        <v>1092.0032000000001</v>
      </c>
      <c r="I12" s="140">
        <v>6.6</v>
      </c>
      <c r="J12" s="176">
        <f>H12*I12</f>
        <v>7207.2211200000002</v>
      </c>
    </row>
    <row r="13" spans="1:10" ht="14.25" customHeight="1">
      <c r="A13" s="171" t="s">
        <v>15</v>
      </c>
      <c r="B13" s="162"/>
      <c r="C13" s="181"/>
      <c r="D13" s="181"/>
      <c r="E13" s="181"/>
      <c r="F13" s="181"/>
      <c r="G13" s="181"/>
      <c r="H13" s="181"/>
      <c r="I13" s="181"/>
      <c r="J13" s="182">
        <f>SUM(J12:J12)</f>
        <v>7207.2211200000002</v>
      </c>
    </row>
    <row r="14" spans="1:10" ht="12" customHeight="1">
      <c r="A14" s="172"/>
      <c r="B14" s="313"/>
      <c r="C14" s="141"/>
      <c r="D14" s="141"/>
      <c r="E14" s="141"/>
      <c r="F14" s="141"/>
      <c r="G14" s="141"/>
      <c r="H14" s="141"/>
      <c r="I14" s="141"/>
      <c r="J14" s="173"/>
    </row>
    <row r="15" spans="1:10" ht="17.25" customHeight="1">
      <c r="A15" s="174" t="str">
        <f>'ORÇA '!A32</f>
        <v>5.0</v>
      </c>
      <c r="B15" s="314" t="str">
        <f>'ORÇA '!D32</f>
        <v>PAVIMENTAÇÃO</v>
      </c>
      <c r="C15" s="141"/>
      <c r="D15" s="141"/>
      <c r="E15" s="141"/>
      <c r="F15" s="141"/>
      <c r="G15" s="141"/>
      <c r="H15" s="141"/>
      <c r="I15" s="141"/>
      <c r="J15" s="173"/>
    </row>
    <row r="16" spans="1:10" ht="14.25" customHeight="1">
      <c r="A16" s="186" t="s">
        <v>203</v>
      </c>
      <c r="B16" s="315"/>
      <c r="C16" s="187"/>
      <c r="D16" s="187"/>
      <c r="E16" s="187"/>
      <c r="F16" s="187"/>
      <c r="G16" s="187"/>
      <c r="H16" s="187"/>
      <c r="I16" s="187"/>
      <c r="J16" s="188"/>
    </row>
    <row r="17" spans="1:10" ht="38.25">
      <c r="A17" s="169" t="s">
        <v>16</v>
      </c>
      <c r="B17" s="138" t="s">
        <v>17</v>
      </c>
      <c r="C17" s="138" t="s">
        <v>18</v>
      </c>
      <c r="D17" s="138" t="s">
        <v>12</v>
      </c>
      <c r="E17" s="138" t="s">
        <v>19</v>
      </c>
      <c r="F17" s="140" t="s">
        <v>20</v>
      </c>
      <c r="G17" s="140"/>
      <c r="H17" s="138" t="s">
        <v>21</v>
      </c>
      <c r="I17" s="138" t="s">
        <v>22</v>
      </c>
      <c r="J17" s="170" t="s">
        <v>23</v>
      </c>
    </row>
    <row r="18" spans="1:10" ht="14.25" customHeight="1">
      <c r="A18" s="169"/>
      <c r="B18" s="138"/>
      <c r="C18" s="138"/>
      <c r="D18" s="138"/>
      <c r="E18" s="138"/>
      <c r="F18" s="140" t="s">
        <v>24</v>
      </c>
      <c r="G18" s="140" t="s">
        <v>11</v>
      </c>
      <c r="H18" s="138"/>
      <c r="I18" s="138"/>
      <c r="J18" s="170"/>
    </row>
    <row r="19" spans="1:10" ht="38.25" customHeight="1">
      <c r="A19" s="171">
        <f>QUANT!B33</f>
        <v>96388</v>
      </c>
      <c r="B19" s="162" t="str">
        <f>QUANT!D33</f>
        <v>Execução e compactação de sub base com solo estabilizado granulometricamente - exclusive escavação, carga e transporte e solo. af_09/2017</v>
      </c>
      <c r="C19" s="140" t="s">
        <v>25</v>
      </c>
      <c r="D19" s="142">
        <f>QUANT!F33</f>
        <v>1013.04</v>
      </c>
      <c r="E19" s="140" t="s">
        <v>4</v>
      </c>
      <c r="F19" s="140">
        <v>1.84</v>
      </c>
      <c r="G19" s="140" t="s">
        <v>26</v>
      </c>
      <c r="H19" s="85">
        <f>D19*F19</f>
        <v>1863.9936</v>
      </c>
      <c r="I19" s="140">
        <v>2</v>
      </c>
      <c r="J19" s="175">
        <f>H19*I19</f>
        <v>3727.9872</v>
      </c>
    </row>
    <row r="20" spans="1:10" ht="38.25" customHeight="1">
      <c r="A20" s="171" t="s">
        <v>27</v>
      </c>
      <c r="B20" s="162" t="str">
        <f>QUANT!D34</f>
        <v>Execução e compactação de base com solo estabilizado granulometricamente - exclusive escavação, carga e transporte e solo. af_09/2017</v>
      </c>
      <c r="C20" s="140" t="s">
        <v>25</v>
      </c>
      <c r="D20" s="142">
        <f>QUANT!F34</f>
        <v>1350.71</v>
      </c>
      <c r="E20" s="140" t="s">
        <v>4</v>
      </c>
      <c r="F20" s="140">
        <v>1.84</v>
      </c>
      <c r="G20" s="140" t="s">
        <v>26</v>
      </c>
      <c r="H20" s="85">
        <f>D20*F20</f>
        <v>2485.3064000000004</v>
      </c>
      <c r="I20" s="140">
        <v>2</v>
      </c>
      <c r="J20" s="175">
        <f>H20*I20</f>
        <v>4970.6128000000008</v>
      </c>
    </row>
    <row r="21" spans="1:10" ht="14.25" customHeight="1">
      <c r="A21" s="171" t="s">
        <v>15</v>
      </c>
      <c r="B21" s="162"/>
      <c r="C21" s="181"/>
      <c r="D21" s="181"/>
      <c r="E21" s="181"/>
      <c r="F21" s="181"/>
      <c r="G21" s="181"/>
      <c r="H21" s="181"/>
      <c r="I21" s="181"/>
      <c r="J21" s="182">
        <f>SUM(J19:J20)</f>
        <v>8698.6</v>
      </c>
    </row>
    <row r="22" spans="1:10" ht="14.25" customHeight="1">
      <c r="A22" s="171"/>
      <c r="B22" s="162"/>
      <c r="C22" s="181"/>
      <c r="D22" s="181"/>
      <c r="E22" s="181"/>
      <c r="F22" s="181"/>
      <c r="G22" s="181"/>
      <c r="H22" s="181"/>
      <c r="I22" s="181"/>
      <c r="J22" s="176"/>
    </row>
    <row r="23" spans="1:10" ht="12.75">
      <c r="A23" s="189" t="s">
        <v>202</v>
      </c>
      <c r="B23" s="316"/>
      <c r="C23" s="190"/>
      <c r="D23" s="190"/>
      <c r="E23" s="190"/>
      <c r="F23" s="190"/>
      <c r="G23" s="190"/>
      <c r="H23" s="190"/>
      <c r="I23" s="181"/>
      <c r="J23" s="176"/>
    </row>
    <row r="24" spans="1:10" ht="38.25">
      <c r="A24" s="169" t="s">
        <v>16</v>
      </c>
      <c r="B24" s="138" t="s">
        <v>17</v>
      </c>
      <c r="C24" s="138" t="s">
        <v>18</v>
      </c>
      <c r="D24" s="138" t="s">
        <v>12</v>
      </c>
      <c r="E24" s="138" t="s">
        <v>19</v>
      </c>
      <c r="F24" s="140" t="s">
        <v>20</v>
      </c>
      <c r="G24" s="140"/>
      <c r="H24" s="138" t="s">
        <v>21</v>
      </c>
      <c r="I24" s="138" t="s">
        <v>22</v>
      </c>
      <c r="J24" s="170" t="s">
        <v>23</v>
      </c>
    </row>
    <row r="25" spans="1:10" ht="14.25" customHeight="1">
      <c r="A25" s="169"/>
      <c r="B25" s="138"/>
      <c r="C25" s="138"/>
      <c r="D25" s="138"/>
      <c r="E25" s="138"/>
      <c r="F25" s="140" t="s">
        <v>24</v>
      </c>
      <c r="G25" s="140" t="s">
        <v>11</v>
      </c>
      <c r="H25" s="138"/>
      <c r="I25" s="138"/>
      <c r="J25" s="170"/>
    </row>
    <row r="26" spans="1:10" ht="38.25">
      <c r="A26" s="171">
        <f>QUANT!B33</f>
        <v>96388</v>
      </c>
      <c r="B26" s="162" t="str">
        <f>QUANT!D33</f>
        <v>Execução e compactação de sub base com solo estabilizado granulometricamente - exclusive escavação, carga e transporte e solo. af_09/2017</v>
      </c>
      <c r="C26" s="140" t="s">
        <v>25</v>
      </c>
      <c r="D26" s="143">
        <f>QUANT!F33</f>
        <v>1013.04</v>
      </c>
      <c r="E26" s="140" t="s">
        <v>4</v>
      </c>
      <c r="F26" s="140">
        <v>1.84</v>
      </c>
      <c r="G26" s="140" t="s">
        <v>26</v>
      </c>
      <c r="H26" s="144">
        <f>D26*F26</f>
        <v>1863.9936</v>
      </c>
      <c r="I26" s="140">
        <v>6.6</v>
      </c>
      <c r="J26" s="176">
        <f>H26*I26</f>
        <v>12302.357759999999</v>
      </c>
    </row>
    <row r="27" spans="1:10" ht="38.25">
      <c r="A27" s="171">
        <f>QUANT!B34</f>
        <v>96388</v>
      </c>
      <c r="B27" s="162" t="str">
        <f>QUANT!D34</f>
        <v>Execução e compactação de base com solo estabilizado granulometricamente - exclusive escavação, carga e transporte e solo. af_09/2017</v>
      </c>
      <c r="C27" s="140" t="s">
        <v>25</v>
      </c>
      <c r="D27" s="143">
        <f>QUANT!F34</f>
        <v>1350.71</v>
      </c>
      <c r="E27" s="140" t="s">
        <v>4</v>
      </c>
      <c r="F27" s="140">
        <v>1.84</v>
      </c>
      <c r="G27" s="140" t="s">
        <v>26</v>
      </c>
      <c r="H27" s="144">
        <f>D27*F27</f>
        <v>2485.3064000000004</v>
      </c>
      <c r="I27" s="140">
        <v>6.6</v>
      </c>
      <c r="J27" s="176">
        <f>H27*I27</f>
        <v>16403.022240000002</v>
      </c>
    </row>
    <row r="28" spans="1:10" ht="14.25" customHeight="1">
      <c r="A28" s="171" t="s">
        <v>15</v>
      </c>
      <c r="B28" s="162"/>
      <c r="C28" s="181"/>
      <c r="D28" s="181"/>
      <c r="E28" s="181"/>
      <c r="F28" s="181"/>
      <c r="G28" s="181"/>
      <c r="H28" s="181"/>
      <c r="I28" s="181"/>
      <c r="J28" s="182">
        <f>SUM(J26:J27)</f>
        <v>28705.38</v>
      </c>
    </row>
    <row r="29" spans="1:10" ht="14.25" customHeight="1">
      <c r="A29" s="171"/>
      <c r="B29" s="162"/>
      <c r="C29" s="181"/>
      <c r="D29" s="181"/>
      <c r="E29" s="181"/>
      <c r="F29" s="181"/>
      <c r="G29" s="181"/>
      <c r="H29" s="181"/>
      <c r="I29" s="181"/>
      <c r="J29" s="176"/>
    </row>
    <row r="30" spans="1:10" ht="14.25" customHeight="1">
      <c r="A30" s="186" t="s">
        <v>208</v>
      </c>
      <c r="B30" s="315"/>
      <c r="C30" s="187"/>
      <c r="D30" s="187"/>
      <c r="E30" s="187"/>
      <c r="F30" s="187"/>
      <c r="G30" s="187"/>
      <c r="H30" s="187"/>
      <c r="I30" s="187"/>
      <c r="J30" s="188"/>
    </row>
    <row r="31" spans="1:10" ht="38.25">
      <c r="A31" s="169" t="s">
        <v>16</v>
      </c>
      <c r="B31" s="138" t="s">
        <v>17</v>
      </c>
      <c r="C31" s="138" t="s">
        <v>18</v>
      </c>
      <c r="D31" s="138" t="s">
        <v>12</v>
      </c>
      <c r="E31" s="138" t="s">
        <v>19</v>
      </c>
      <c r="F31" s="140" t="s">
        <v>20</v>
      </c>
      <c r="G31" s="140"/>
      <c r="H31" s="138" t="s">
        <v>21</v>
      </c>
      <c r="I31" s="138" t="s">
        <v>22</v>
      </c>
      <c r="J31" s="170" t="s">
        <v>23</v>
      </c>
    </row>
    <row r="32" spans="1:10" ht="14.25" customHeight="1">
      <c r="A32" s="169"/>
      <c r="B32" s="138"/>
      <c r="C32" s="138"/>
      <c r="D32" s="138"/>
      <c r="E32" s="138"/>
      <c r="F32" s="140" t="s">
        <v>24</v>
      </c>
      <c r="G32" s="140" t="s">
        <v>11</v>
      </c>
      <c r="H32" s="138"/>
      <c r="I32" s="138"/>
      <c r="J32" s="170"/>
    </row>
    <row r="33" spans="1:10" ht="38.25">
      <c r="A33" s="177">
        <f>QUANT!B37</f>
        <v>95995</v>
      </c>
      <c r="B33" s="163" t="str">
        <f>QUANT!D37</f>
        <v>Construção de pavimento com aplicação de concreto betuminoso usinado a quente (cbuq), camada de rolamento, com espessura de 4,0 cm  exclusive transporte. af_03/2017</v>
      </c>
      <c r="C33" s="140" t="s">
        <v>59</v>
      </c>
      <c r="D33" s="143">
        <f>QUANT!F37</f>
        <v>208.39</v>
      </c>
      <c r="E33" s="140" t="s">
        <v>4</v>
      </c>
      <c r="F33" s="145">
        <v>1</v>
      </c>
      <c r="G33" s="140" t="s">
        <v>204</v>
      </c>
      <c r="H33" s="144">
        <f>D33*F33</f>
        <v>208.39</v>
      </c>
      <c r="I33" s="206">
        <v>21.8</v>
      </c>
      <c r="J33" s="176">
        <f>INT(H33*I33*100)/100</f>
        <v>4542.8999999999996</v>
      </c>
    </row>
    <row r="34" spans="1:10" ht="14.25" customHeight="1">
      <c r="A34" s="171" t="s">
        <v>15</v>
      </c>
      <c r="B34" s="162"/>
      <c r="C34" s="181"/>
      <c r="D34" s="181"/>
      <c r="E34" s="181"/>
      <c r="F34" s="181"/>
      <c r="G34" s="181"/>
      <c r="H34" s="181"/>
      <c r="I34" s="181"/>
      <c r="J34" s="182">
        <f>SUM(J33:J33)</f>
        <v>4542.8999999999996</v>
      </c>
    </row>
  </sheetData>
  <customSheetViews>
    <customSheetView guid="{E8D46A29-8D28-49CA-936A-9705D639E1C7}" topLeftCell="A7">
      <selection activeCell="F28" sqref="F28:G28"/>
      <pageMargins left="0.78740157480314965" right="0.78740157480314965" top="0.98425196850393704" bottom="0.98425196850393704" header="0.51181102362204722" footer="0.51181102362204722"/>
      <printOptions horizontalCentered="1"/>
      <pageSetup scale="90" orientation="landscape" horizontalDpi="4294967293" r:id="rId1"/>
      <headerFooter alignWithMargins="0"/>
    </customSheetView>
  </customSheetViews>
  <phoneticPr fontId="0" type="noConversion"/>
  <printOptions horizontalCentered="1"/>
  <pageMargins left="0.78740157480314965" right="0.78740157480314965" top="0.98425196850393704" bottom="0.59055118110236227" header="0.51181102362204722" footer="0.51181102362204722"/>
  <pageSetup paperSize="9" scale="70" orientation="landscape" horizontalDpi="4294967293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/>
  <dimension ref="A1:AH43"/>
  <sheetViews>
    <sheetView zoomScale="90" zoomScaleNormal="90" workbookViewId="0">
      <selection activeCell="G33" sqref="G33"/>
    </sheetView>
  </sheetViews>
  <sheetFormatPr defaultRowHeight="12.75"/>
  <cols>
    <col min="1" max="1" width="5.85546875" customWidth="1"/>
    <col min="2" max="2" width="6.140625" customWidth="1"/>
    <col min="3" max="3" width="28.5703125" customWidth="1"/>
    <col min="4" max="4" width="9.28515625" customWidth="1"/>
    <col min="5" max="5" width="13.85546875" customWidth="1"/>
    <col min="6" max="14" width="6.7109375" customWidth="1"/>
    <col min="15" max="23" width="6.7109375" hidden="1" customWidth="1"/>
    <col min="24" max="24" width="12.5703125" bestFit="1" customWidth="1"/>
    <col min="25" max="25" width="18.7109375" customWidth="1"/>
    <col min="30" max="30" width="14.85546875" bestFit="1" customWidth="1"/>
    <col min="31" max="31" width="13.5703125" bestFit="1" customWidth="1"/>
    <col min="33" max="33" width="16.28515625" bestFit="1" customWidth="1"/>
  </cols>
  <sheetData>
    <row r="1" spans="1:29" ht="12.75" customHeight="1">
      <c r="A1" s="458" t="s">
        <v>212</v>
      </c>
      <c r="B1" s="458"/>
      <c r="C1" s="458"/>
      <c r="D1" s="458"/>
      <c r="E1" s="458"/>
      <c r="F1" s="465" t="s">
        <v>42</v>
      </c>
      <c r="G1" s="465"/>
      <c r="H1" s="465"/>
      <c r="I1" s="465"/>
      <c r="J1" s="465"/>
      <c r="K1" s="465"/>
      <c r="L1" s="465"/>
      <c r="M1" s="465"/>
      <c r="N1" s="465"/>
      <c r="O1" s="282"/>
      <c r="P1" s="282"/>
      <c r="Q1" s="282"/>
      <c r="R1" s="282"/>
      <c r="S1" s="282"/>
      <c r="T1" s="282"/>
      <c r="U1" s="282"/>
      <c r="V1" s="282"/>
      <c r="W1" s="283"/>
    </row>
    <row r="2" spans="1:29" ht="12.75" customHeight="1">
      <c r="A2" s="458"/>
      <c r="B2" s="458"/>
      <c r="C2" s="458"/>
      <c r="D2" s="458"/>
      <c r="E2" s="458"/>
      <c r="F2" s="465"/>
      <c r="G2" s="465"/>
      <c r="H2" s="465"/>
      <c r="I2" s="465"/>
      <c r="J2" s="465"/>
      <c r="K2" s="465"/>
      <c r="L2" s="465"/>
      <c r="M2" s="465"/>
      <c r="N2" s="465"/>
      <c r="O2" s="284"/>
      <c r="P2" s="284"/>
      <c r="Q2" s="284"/>
      <c r="R2" s="284"/>
      <c r="S2" s="284"/>
      <c r="T2" s="284"/>
      <c r="U2" s="284"/>
      <c r="V2" s="284"/>
      <c r="W2" s="285"/>
    </row>
    <row r="3" spans="1:29" ht="12.75" customHeight="1">
      <c r="A3" s="458"/>
      <c r="B3" s="458"/>
      <c r="C3" s="458"/>
      <c r="D3" s="458"/>
      <c r="E3" s="458"/>
      <c r="F3" s="465"/>
      <c r="G3" s="465"/>
      <c r="H3" s="465"/>
      <c r="I3" s="465"/>
      <c r="J3" s="465"/>
      <c r="K3" s="465"/>
      <c r="L3" s="465"/>
      <c r="M3" s="465"/>
      <c r="N3" s="465"/>
      <c r="O3" s="286"/>
      <c r="P3" s="286"/>
      <c r="Q3" s="286"/>
      <c r="R3" s="286"/>
      <c r="S3" s="286"/>
      <c r="T3" s="286"/>
      <c r="U3" s="286"/>
      <c r="V3" s="286"/>
      <c r="W3" s="287"/>
    </row>
    <row r="4" spans="1:29" ht="18">
      <c r="A4" s="464" t="s">
        <v>302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  <c r="N4" s="464"/>
      <c r="O4" s="290"/>
      <c r="P4" s="290"/>
      <c r="Q4" s="290"/>
      <c r="R4" s="290"/>
      <c r="S4" s="290"/>
      <c r="T4" s="290"/>
      <c r="U4" s="290"/>
      <c r="V4" s="290"/>
      <c r="W4" s="291"/>
    </row>
    <row r="5" spans="1:29" ht="15.75">
      <c r="A5" s="459"/>
      <c r="B5" s="460"/>
      <c r="C5" s="460"/>
      <c r="D5" s="460"/>
      <c r="E5" s="461"/>
      <c r="F5" s="466" t="s">
        <v>144</v>
      </c>
      <c r="G5" s="466"/>
      <c r="H5" s="466"/>
      <c r="I5" s="466"/>
      <c r="J5" s="466"/>
      <c r="K5" s="466"/>
      <c r="L5" s="466"/>
      <c r="M5" s="466"/>
      <c r="N5" s="466"/>
      <c r="O5" s="288"/>
      <c r="P5" s="288"/>
      <c r="Q5" s="288"/>
      <c r="R5" s="288"/>
      <c r="S5" s="288"/>
      <c r="T5" s="288"/>
      <c r="U5" s="288"/>
      <c r="V5" s="288"/>
      <c r="W5" s="289"/>
    </row>
    <row r="6" spans="1:29">
      <c r="A6" s="51" t="s">
        <v>145</v>
      </c>
      <c r="B6" s="462" t="s">
        <v>146</v>
      </c>
      <c r="C6" s="462"/>
      <c r="D6" s="51" t="s">
        <v>147</v>
      </c>
      <c r="E6" s="51" t="s">
        <v>148</v>
      </c>
      <c r="F6" s="449">
        <v>30</v>
      </c>
      <c r="G6" s="449"/>
      <c r="H6" s="449"/>
      <c r="I6" s="449">
        <v>60</v>
      </c>
      <c r="J6" s="449"/>
      <c r="K6" s="449"/>
      <c r="L6" s="449">
        <v>90</v>
      </c>
      <c r="M6" s="449"/>
      <c r="N6" s="449"/>
      <c r="O6" s="463">
        <v>120</v>
      </c>
      <c r="P6" s="449"/>
      <c r="Q6" s="449"/>
      <c r="R6" s="463">
        <v>150</v>
      </c>
      <c r="S6" s="449"/>
      <c r="T6" s="449"/>
      <c r="U6" s="449">
        <v>180</v>
      </c>
      <c r="V6" s="449"/>
      <c r="W6" s="449"/>
    </row>
    <row r="7" spans="1:29">
      <c r="A7" s="449" t="str">
        <f>RESUMO!A8</f>
        <v>1.0</v>
      </c>
      <c r="B7" s="450" t="str">
        <f>RESUMO!B8</f>
        <v>ADMINISTRAÇÃO LOCAL</v>
      </c>
      <c r="C7" s="450"/>
      <c r="D7" s="451">
        <f>E7/$E$28*100</f>
        <v>1.7919149449824017</v>
      </c>
      <c r="E7" s="452">
        <f>RESUMO!C8</f>
        <v>26285.97</v>
      </c>
      <c r="F7" s="453">
        <f>$E$7*F9</f>
        <v>9200.0895</v>
      </c>
      <c r="G7" s="453"/>
      <c r="H7" s="453"/>
      <c r="I7" s="453">
        <f>$E$7*I9</f>
        <v>14194.423800000002</v>
      </c>
      <c r="J7" s="453"/>
      <c r="K7" s="453"/>
      <c r="L7" s="453">
        <f>$E$7*L9</f>
        <v>2891.4567000000002</v>
      </c>
      <c r="M7" s="453"/>
      <c r="N7" s="453"/>
      <c r="O7" s="443">
        <f>$E$7*O9</f>
        <v>0</v>
      </c>
      <c r="P7" s="443"/>
      <c r="Q7" s="444"/>
      <c r="R7" s="442">
        <f>$E$7*R9</f>
        <v>0</v>
      </c>
      <c r="S7" s="443"/>
      <c r="T7" s="444"/>
      <c r="U7" s="442">
        <f>$E$7*U9</f>
        <v>0</v>
      </c>
      <c r="V7" s="443"/>
      <c r="W7" s="444"/>
      <c r="X7" s="3">
        <f>SUM(F7:W7)</f>
        <v>26285.97</v>
      </c>
      <c r="Y7" s="3">
        <f>X7-E7</f>
        <v>0</v>
      </c>
    </row>
    <row r="8" spans="1:29">
      <c r="A8" s="449"/>
      <c r="B8" s="450"/>
      <c r="C8" s="450"/>
      <c r="D8" s="451"/>
      <c r="E8" s="452"/>
      <c r="F8" s="445"/>
      <c r="G8" s="445"/>
      <c r="H8" s="445"/>
      <c r="I8" s="446"/>
      <c r="J8" s="447"/>
      <c r="K8" s="448"/>
      <c r="L8" s="446"/>
      <c r="M8" s="447"/>
      <c r="N8" s="448"/>
      <c r="O8" s="53"/>
      <c r="P8" s="53"/>
      <c r="Q8" s="54"/>
      <c r="R8" s="53"/>
      <c r="S8" s="53"/>
      <c r="T8" s="53"/>
      <c r="U8" s="446"/>
      <c r="V8" s="447"/>
      <c r="W8" s="448"/>
    </row>
    <row r="9" spans="1:29">
      <c r="A9" s="449"/>
      <c r="B9" s="450"/>
      <c r="C9" s="450"/>
      <c r="D9" s="451"/>
      <c r="E9" s="452"/>
      <c r="F9" s="454">
        <v>0.35</v>
      </c>
      <c r="G9" s="454"/>
      <c r="H9" s="454"/>
      <c r="I9" s="454">
        <v>0.54</v>
      </c>
      <c r="J9" s="454"/>
      <c r="K9" s="454"/>
      <c r="L9" s="454">
        <v>0.11</v>
      </c>
      <c r="M9" s="454"/>
      <c r="N9" s="454"/>
      <c r="O9" s="455">
        <v>0</v>
      </c>
      <c r="P9" s="455"/>
      <c r="Q9" s="456"/>
      <c r="R9" s="457">
        <v>0</v>
      </c>
      <c r="S9" s="455"/>
      <c r="T9" s="456"/>
      <c r="U9" s="457">
        <v>0</v>
      </c>
      <c r="V9" s="455"/>
      <c r="W9" s="456"/>
      <c r="X9" s="83">
        <f>SUM(F9:W9)</f>
        <v>1</v>
      </c>
    </row>
    <row r="10" spans="1:29">
      <c r="A10" s="449" t="str">
        <f>RESUMO!A11</f>
        <v>2.0</v>
      </c>
      <c r="B10" s="450" t="str">
        <f>RESUMO!B11</f>
        <v>SERVIÇOS PRELIMINARES</v>
      </c>
      <c r="C10" s="450"/>
      <c r="D10" s="451">
        <f>E10/$E$28*100</f>
        <v>3.1306042781605701</v>
      </c>
      <c r="E10" s="452">
        <f>RESUMO!C11</f>
        <v>45923.479999999996</v>
      </c>
      <c r="F10" s="453">
        <f>$E$10*F12</f>
        <v>45905.110607999995</v>
      </c>
      <c r="G10" s="453"/>
      <c r="H10" s="453"/>
      <c r="I10" s="453">
        <f>$E$10*I12</f>
        <v>9.1846959999999989</v>
      </c>
      <c r="J10" s="453"/>
      <c r="K10" s="453"/>
      <c r="L10" s="453">
        <f>$E$10*L12</f>
        <v>9.1846959999999989</v>
      </c>
      <c r="M10" s="453"/>
      <c r="N10" s="453"/>
      <c r="O10" s="443">
        <f>$E$10*O12</f>
        <v>0</v>
      </c>
      <c r="P10" s="443"/>
      <c r="Q10" s="444"/>
      <c r="R10" s="442">
        <f>$E$10*R12</f>
        <v>0</v>
      </c>
      <c r="S10" s="443"/>
      <c r="T10" s="444"/>
      <c r="U10" s="442">
        <f>$E$10*U12</f>
        <v>0</v>
      </c>
      <c r="V10" s="443"/>
      <c r="W10" s="444"/>
      <c r="X10" s="3">
        <f>SUM(F10:W10)</f>
        <v>45923.479999999989</v>
      </c>
      <c r="Y10" s="3">
        <f>X10-E10</f>
        <v>0</v>
      </c>
    </row>
    <row r="11" spans="1:29">
      <c r="A11" s="449"/>
      <c r="B11" s="450"/>
      <c r="C11" s="450"/>
      <c r="D11" s="451"/>
      <c r="E11" s="452"/>
      <c r="F11" s="445"/>
      <c r="G11" s="445"/>
      <c r="H11" s="445"/>
      <c r="I11" s="446"/>
      <c r="J11" s="447"/>
      <c r="K11" s="448"/>
      <c r="L11" s="446"/>
      <c r="M11" s="447"/>
      <c r="N11" s="448"/>
      <c r="O11" s="53"/>
      <c r="P11" s="53"/>
      <c r="Q11" s="54"/>
      <c r="R11" s="53"/>
      <c r="S11" s="53"/>
      <c r="T11" s="53"/>
      <c r="U11" s="446"/>
      <c r="V11" s="447"/>
      <c r="W11" s="448"/>
    </row>
    <row r="12" spans="1:29">
      <c r="A12" s="449"/>
      <c r="B12" s="450"/>
      <c r="C12" s="450"/>
      <c r="D12" s="451"/>
      <c r="E12" s="452"/>
      <c r="F12" s="454">
        <v>0.99960000000000004</v>
      </c>
      <c r="G12" s="454"/>
      <c r="H12" s="454"/>
      <c r="I12" s="454">
        <v>2.0000000000000001E-4</v>
      </c>
      <c r="J12" s="454"/>
      <c r="K12" s="454"/>
      <c r="L12" s="454">
        <v>2.0000000000000001E-4</v>
      </c>
      <c r="M12" s="454"/>
      <c r="N12" s="454"/>
      <c r="O12" s="455">
        <v>0</v>
      </c>
      <c r="P12" s="455"/>
      <c r="Q12" s="456"/>
      <c r="R12" s="457">
        <v>0</v>
      </c>
      <c r="S12" s="455"/>
      <c r="T12" s="456"/>
      <c r="U12" s="457">
        <v>0</v>
      </c>
      <c r="V12" s="455"/>
      <c r="W12" s="456"/>
      <c r="X12" s="83">
        <f>SUM(F12:W12)</f>
        <v>1</v>
      </c>
      <c r="AB12" s="298">
        <f>782.66/E10</f>
        <v>1.7042697983689389E-2</v>
      </c>
    </row>
    <row r="13" spans="1:29" ht="12.75" customHeight="1">
      <c r="A13" s="449" t="str">
        <f>RESUMO!A14</f>
        <v>3.0</v>
      </c>
      <c r="B13" s="450" t="str">
        <f>RESUMO!B14</f>
        <v>ENSAIOS TECNOLÓGICOS DE SOLO E ASFALTO</v>
      </c>
      <c r="C13" s="450"/>
      <c r="D13" s="451">
        <f>E13/$E$28*100</f>
        <v>0.82629692105427677</v>
      </c>
      <c r="E13" s="452">
        <f>RESUMO!C14</f>
        <v>12121.119999999999</v>
      </c>
      <c r="F13" s="453">
        <f>$E$13*F15</f>
        <v>5090.8703999999998</v>
      </c>
      <c r="G13" s="453"/>
      <c r="H13" s="453"/>
      <c r="I13" s="453">
        <f>$E$13*I15</f>
        <v>7030.2495999999992</v>
      </c>
      <c r="J13" s="453"/>
      <c r="K13" s="453"/>
      <c r="L13" s="453">
        <f>$E$13*L15</f>
        <v>0</v>
      </c>
      <c r="M13" s="453"/>
      <c r="N13" s="453"/>
      <c r="O13" s="443">
        <f>$E$13*O15</f>
        <v>0</v>
      </c>
      <c r="P13" s="443"/>
      <c r="Q13" s="444"/>
      <c r="R13" s="442">
        <f>$E$13*R15</f>
        <v>0</v>
      </c>
      <c r="S13" s="443"/>
      <c r="T13" s="444"/>
      <c r="U13" s="442">
        <f>$E$13*U15</f>
        <v>0</v>
      </c>
      <c r="V13" s="443"/>
      <c r="W13" s="444"/>
      <c r="X13" s="3">
        <f>SUM(F13:W13)</f>
        <v>12121.119999999999</v>
      </c>
      <c r="Y13" s="3">
        <f>X13-E13</f>
        <v>0</v>
      </c>
      <c r="AC13" s="295"/>
    </row>
    <row r="14" spans="1:29">
      <c r="A14" s="449"/>
      <c r="B14" s="450"/>
      <c r="C14" s="450"/>
      <c r="D14" s="451"/>
      <c r="E14" s="452"/>
      <c r="F14" s="445"/>
      <c r="G14" s="445"/>
      <c r="H14" s="445"/>
      <c r="I14" s="446"/>
      <c r="J14" s="447"/>
      <c r="K14" s="448"/>
      <c r="L14" s="467"/>
      <c r="M14" s="468"/>
      <c r="N14" s="463"/>
      <c r="O14" s="53"/>
      <c r="P14" s="53"/>
      <c r="Q14" s="54"/>
      <c r="R14" s="53"/>
      <c r="S14" s="53"/>
      <c r="T14" s="53"/>
      <c r="U14" s="446"/>
      <c r="V14" s="447"/>
      <c r="W14" s="448"/>
    </row>
    <row r="15" spans="1:29">
      <c r="A15" s="449"/>
      <c r="B15" s="450"/>
      <c r="C15" s="450"/>
      <c r="D15" s="451"/>
      <c r="E15" s="452"/>
      <c r="F15" s="454">
        <v>0.42</v>
      </c>
      <c r="G15" s="454"/>
      <c r="H15" s="454"/>
      <c r="I15" s="454">
        <v>0.57999999999999996</v>
      </c>
      <c r="J15" s="454"/>
      <c r="K15" s="454"/>
      <c r="L15" s="454">
        <v>0</v>
      </c>
      <c r="M15" s="454"/>
      <c r="N15" s="454"/>
      <c r="O15" s="455">
        <v>0</v>
      </c>
      <c r="P15" s="455"/>
      <c r="Q15" s="456"/>
      <c r="R15" s="457">
        <v>0</v>
      </c>
      <c r="S15" s="455"/>
      <c r="T15" s="456"/>
      <c r="U15" s="457">
        <v>0</v>
      </c>
      <c r="V15" s="455"/>
      <c r="W15" s="456"/>
      <c r="X15" s="83">
        <f>SUM(F15:W15)</f>
        <v>1</v>
      </c>
    </row>
    <row r="16" spans="1:29">
      <c r="A16" s="449" t="str">
        <f>RESUMO!A17</f>
        <v>4.0</v>
      </c>
      <c r="B16" s="450" t="str">
        <f>RESUMO!B17</f>
        <v>TERRAPLENAGEM</v>
      </c>
      <c r="C16" s="450"/>
      <c r="D16" s="451">
        <f>E16/$E$28*100</f>
        <v>1.5995064436444661</v>
      </c>
      <c r="E16" s="452">
        <f>RESUMO!C17</f>
        <v>23463.489999999998</v>
      </c>
      <c r="F16" s="453">
        <f>$E$16*F18</f>
        <v>9854.6657999999989</v>
      </c>
      <c r="G16" s="453"/>
      <c r="H16" s="453"/>
      <c r="I16" s="453">
        <f>$E$16*I18</f>
        <v>13608.824199999997</v>
      </c>
      <c r="J16" s="453"/>
      <c r="K16" s="453"/>
      <c r="L16" s="453">
        <f>$E$16*L18</f>
        <v>0</v>
      </c>
      <c r="M16" s="453"/>
      <c r="N16" s="453"/>
      <c r="O16" s="443">
        <f>$E$16*O18</f>
        <v>0</v>
      </c>
      <c r="P16" s="443"/>
      <c r="Q16" s="444"/>
      <c r="R16" s="442"/>
      <c r="S16" s="443"/>
      <c r="T16" s="444"/>
      <c r="U16" s="442"/>
      <c r="V16" s="443"/>
      <c r="W16" s="444"/>
      <c r="X16" s="3">
        <f>SUM(F16:W16)</f>
        <v>23463.489999999998</v>
      </c>
    </row>
    <row r="17" spans="1:28">
      <c r="A17" s="449"/>
      <c r="B17" s="450"/>
      <c r="C17" s="450"/>
      <c r="D17" s="451"/>
      <c r="E17" s="452"/>
      <c r="F17" s="445"/>
      <c r="G17" s="445"/>
      <c r="H17" s="445"/>
      <c r="I17" s="446"/>
      <c r="J17" s="447"/>
      <c r="K17" s="448"/>
      <c r="L17" s="467"/>
      <c r="M17" s="468"/>
      <c r="N17" s="463"/>
      <c r="O17" s="53"/>
      <c r="P17" s="53"/>
      <c r="Q17" s="54"/>
      <c r="R17" s="88"/>
      <c r="S17" s="88"/>
      <c r="T17" s="88"/>
      <c r="U17" s="472"/>
      <c r="V17" s="473"/>
      <c r="W17" s="474"/>
    </row>
    <row r="18" spans="1:28">
      <c r="A18" s="449"/>
      <c r="B18" s="450"/>
      <c r="C18" s="450"/>
      <c r="D18" s="451"/>
      <c r="E18" s="452"/>
      <c r="F18" s="454">
        <v>0.42</v>
      </c>
      <c r="G18" s="454"/>
      <c r="H18" s="454"/>
      <c r="I18" s="454">
        <v>0.57999999999999996</v>
      </c>
      <c r="J18" s="454"/>
      <c r="K18" s="454"/>
      <c r="L18" s="454">
        <v>0</v>
      </c>
      <c r="M18" s="454"/>
      <c r="N18" s="454"/>
      <c r="O18" s="455">
        <v>0</v>
      </c>
      <c r="P18" s="455"/>
      <c r="Q18" s="456"/>
      <c r="R18" s="469"/>
      <c r="S18" s="470"/>
      <c r="T18" s="471"/>
      <c r="U18" s="469"/>
      <c r="V18" s="470"/>
      <c r="W18" s="471"/>
      <c r="X18" s="83">
        <f>SUM(F18:W18)</f>
        <v>1</v>
      </c>
    </row>
    <row r="19" spans="1:28">
      <c r="A19" s="449" t="str">
        <f>RESUMO!A20</f>
        <v>5.0</v>
      </c>
      <c r="B19" s="450" t="str">
        <f>RESUMO!B20</f>
        <v>PAVIMENTAÇÃO</v>
      </c>
      <c r="C19" s="450"/>
      <c r="D19" s="451">
        <f>E19/$E$28*100</f>
        <v>39.492782919004959</v>
      </c>
      <c r="E19" s="452">
        <f>RESUMO!C20</f>
        <v>579327.78</v>
      </c>
      <c r="F19" s="453">
        <f>$E$19*F21</f>
        <v>243317.66760000002</v>
      </c>
      <c r="G19" s="453"/>
      <c r="H19" s="453"/>
      <c r="I19" s="453">
        <f>$E$19*I21</f>
        <v>336010.11239999998</v>
      </c>
      <c r="J19" s="453"/>
      <c r="K19" s="453"/>
      <c r="L19" s="453">
        <f>$E$19*L21</f>
        <v>0</v>
      </c>
      <c r="M19" s="453"/>
      <c r="N19" s="453"/>
      <c r="O19" s="443">
        <f>$E$19*O21</f>
        <v>0</v>
      </c>
      <c r="P19" s="443"/>
      <c r="Q19" s="444"/>
      <c r="R19" s="481"/>
      <c r="S19" s="482"/>
      <c r="T19" s="483"/>
      <c r="U19" s="442"/>
      <c r="V19" s="443"/>
      <c r="W19" s="444"/>
      <c r="X19" s="3">
        <f>SUM(F19:W19)</f>
        <v>579327.78</v>
      </c>
      <c r="Y19" s="3">
        <f>X19-E19</f>
        <v>0</v>
      </c>
    </row>
    <row r="20" spans="1:28">
      <c r="A20" s="449"/>
      <c r="B20" s="450"/>
      <c r="C20" s="450"/>
      <c r="D20" s="451"/>
      <c r="E20" s="452"/>
      <c r="F20" s="445"/>
      <c r="G20" s="445"/>
      <c r="H20" s="445"/>
      <c r="I20" s="446"/>
      <c r="J20" s="447"/>
      <c r="K20" s="448"/>
      <c r="L20" s="467"/>
      <c r="M20" s="468"/>
      <c r="N20" s="463"/>
      <c r="O20" s="53"/>
      <c r="P20" s="53"/>
      <c r="Q20" s="54"/>
      <c r="R20" s="88"/>
      <c r="S20" s="88"/>
      <c r="T20" s="88"/>
      <c r="U20" s="87"/>
      <c r="V20" s="88"/>
      <c r="W20" s="89"/>
    </row>
    <row r="21" spans="1:28">
      <c r="A21" s="449"/>
      <c r="B21" s="450"/>
      <c r="C21" s="450"/>
      <c r="D21" s="451"/>
      <c r="E21" s="452"/>
      <c r="F21" s="454">
        <v>0.42</v>
      </c>
      <c r="G21" s="454"/>
      <c r="H21" s="454"/>
      <c r="I21" s="454">
        <v>0.57999999999999996</v>
      </c>
      <c r="J21" s="454"/>
      <c r="K21" s="454"/>
      <c r="L21" s="454">
        <v>0</v>
      </c>
      <c r="M21" s="454"/>
      <c r="N21" s="454"/>
      <c r="O21" s="455">
        <v>0</v>
      </c>
      <c r="P21" s="455"/>
      <c r="Q21" s="456"/>
      <c r="R21" s="475"/>
      <c r="S21" s="476"/>
      <c r="T21" s="477"/>
      <c r="U21" s="478"/>
      <c r="V21" s="479"/>
      <c r="W21" s="480"/>
      <c r="X21" s="83">
        <f>SUM(F21:W21)</f>
        <v>1</v>
      </c>
    </row>
    <row r="22" spans="1:28">
      <c r="A22" s="449" t="str">
        <f>RESUMO!A23</f>
        <v>6.0</v>
      </c>
      <c r="B22" s="450" t="str">
        <f>RESUMO!B23</f>
        <v>SINALIZAÇÃO HORIZONTAL/VERTICAL</v>
      </c>
      <c r="C22" s="450"/>
      <c r="D22" s="495">
        <f>E22/$E$28*100</f>
        <v>0.82331380123817599</v>
      </c>
      <c r="E22" s="452">
        <f>RESUMO!C23</f>
        <v>12077.36</v>
      </c>
      <c r="F22" s="491"/>
      <c r="G22" s="491"/>
      <c r="H22" s="491"/>
      <c r="I22" s="453"/>
      <c r="J22" s="453"/>
      <c r="K22" s="453"/>
      <c r="L22" s="481">
        <f>$E$22*L24</f>
        <v>12077.36</v>
      </c>
      <c r="M22" s="482"/>
      <c r="N22" s="483"/>
      <c r="O22" s="482"/>
      <c r="P22" s="482"/>
      <c r="Q22" s="483"/>
      <c r="R22" s="481">
        <f>$E$22*R24</f>
        <v>0</v>
      </c>
      <c r="S22" s="482"/>
      <c r="T22" s="483"/>
      <c r="U22" s="481">
        <f>$E$22*U24</f>
        <v>0</v>
      </c>
      <c r="V22" s="482"/>
      <c r="W22" s="483"/>
      <c r="X22" s="3">
        <f>SUM(F22:W22)</f>
        <v>12077.36</v>
      </c>
      <c r="Y22" s="3">
        <f>X22-E22</f>
        <v>0</v>
      </c>
    </row>
    <row r="23" spans="1:28">
      <c r="A23" s="449"/>
      <c r="B23" s="450"/>
      <c r="C23" s="450"/>
      <c r="D23" s="496"/>
      <c r="E23" s="452"/>
      <c r="F23" s="492"/>
      <c r="G23" s="493"/>
      <c r="H23" s="494"/>
      <c r="I23" s="472"/>
      <c r="J23" s="473"/>
      <c r="K23" s="474"/>
      <c r="L23" s="327"/>
      <c r="M23" s="328"/>
      <c r="N23" s="329"/>
      <c r="O23" s="88"/>
      <c r="P23" s="88"/>
      <c r="Q23" s="89"/>
      <c r="R23" s="53"/>
      <c r="S23" s="53"/>
      <c r="T23" s="53"/>
      <c r="U23" s="52"/>
      <c r="V23" s="53"/>
      <c r="W23" s="54"/>
    </row>
    <row r="24" spans="1:28">
      <c r="A24" s="449"/>
      <c r="B24" s="450"/>
      <c r="C24" s="450"/>
      <c r="D24" s="497"/>
      <c r="E24" s="452"/>
      <c r="F24" s="484"/>
      <c r="G24" s="484"/>
      <c r="H24" s="484"/>
      <c r="I24" s="484"/>
      <c r="J24" s="484"/>
      <c r="K24" s="484"/>
      <c r="L24" s="490">
        <v>1</v>
      </c>
      <c r="M24" s="485"/>
      <c r="N24" s="486"/>
      <c r="O24" s="485"/>
      <c r="P24" s="485"/>
      <c r="Q24" s="486"/>
      <c r="R24" s="490">
        <v>0</v>
      </c>
      <c r="S24" s="485"/>
      <c r="T24" s="486"/>
      <c r="U24" s="487">
        <v>0</v>
      </c>
      <c r="V24" s="488"/>
      <c r="W24" s="489"/>
      <c r="X24" s="83">
        <f>SUM(F24:W24)</f>
        <v>1</v>
      </c>
    </row>
    <row r="25" spans="1:28">
      <c r="A25" s="449" t="str">
        <f>RESUMO!A26</f>
        <v>7.0</v>
      </c>
      <c r="B25" s="450" t="str">
        <f>RESUMO!B27</f>
        <v>OBRAS COMPLEMENTARES</v>
      </c>
      <c r="C25" s="450"/>
      <c r="D25" s="451">
        <f>E25/$E$28*100</f>
        <v>52.335580691915141</v>
      </c>
      <c r="E25" s="452">
        <f>RESUMO!C26</f>
        <v>767721.43</v>
      </c>
      <c r="F25" s="481">
        <f>$E$25*F27</f>
        <v>0</v>
      </c>
      <c r="G25" s="482"/>
      <c r="H25" s="483"/>
      <c r="I25" s="481">
        <f t="shared" ref="I25" si="0">$E$25*I27</f>
        <v>758124.91212500003</v>
      </c>
      <c r="J25" s="482"/>
      <c r="K25" s="483"/>
      <c r="L25" s="481">
        <f t="shared" ref="L25" si="1">$E$25*L27</f>
        <v>9596.5178750000014</v>
      </c>
      <c r="M25" s="482"/>
      <c r="N25" s="483"/>
      <c r="O25" s="482">
        <f>$E$25*O27</f>
        <v>0</v>
      </c>
      <c r="P25" s="482"/>
      <c r="Q25" s="483"/>
      <c r="R25" s="481">
        <f>$E$25*R27</f>
        <v>0</v>
      </c>
      <c r="S25" s="482"/>
      <c r="T25" s="483"/>
      <c r="U25" s="481">
        <f>$E$25*U27</f>
        <v>0</v>
      </c>
      <c r="V25" s="482"/>
      <c r="W25" s="483"/>
      <c r="X25" s="3">
        <f>SUM(F25:W25)</f>
        <v>767721.43</v>
      </c>
      <c r="Y25" s="3">
        <f>X25-E25</f>
        <v>0</v>
      </c>
    </row>
    <row r="26" spans="1:28">
      <c r="A26" s="449"/>
      <c r="B26" s="450"/>
      <c r="C26" s="450"/>
      <c r="D26" s="451"/>
      <c r="E26" s="452"/>
      <c r="F26" s="449"/>
      <c r="G26" s="449"/>
      <c r="H26" s="449"/>
      <c r="I26" s="445"/>
      <c r="J26" s="445"/>
      <c r="K26" s="445"/>
      <c r="L26" s="445"/>
      <c r="M26" s="445"/>
      <c r="N26" s="445"/>
      <c r="O26" s="53"/>
      <c r="P26" s="53"/>
      <c r="Q26" s="54"/>
      <c r="R26" s="53"/>
      <c r="S26" s="53"/>
      <c r="T26" s="53"/>
      <c r="U26" s="52"/>
      <c r="V26" s="53"/>
      <c r="W26" s="54"/>
    </row>
    <row r="27" spans="1:28">
      <c r="A27" s="449"/>
      <c r="B27" s="450"/>
      <c r="C27" s="450"/>
      <c r="D27" s="451"/>
      <c r="E27" s="452"/>
      <c r="F27" s="490">
        <v>0</v>
      </c>
      <c r="G27" s="485"/>
      <c r="H27" s="486"/>
      <c r="I27" s="484">
        <v>0.98750000000000004</v>
      </c>
      <c r="J27" s="484"/>
      <c r="K27" s="484"/>
      <c r="L27" s="484">
        <v>1.2500000000000001E-2</v>
      </c>
      <c r="M27" s="484"/>
      <c r="N27" s="484"/>
      <c r="O27" s="485">
        <v>0</v>
      </c>
      <c r="P27" s="485"/>
      <c r="Q27" s="486"/>
      <c r="R27" s="490">
        <v>0</v>
      </c>
      <c r="S27" s="485"/>
      <c r="T27" s="486"/>
      <c r="U27" s="487">
        <v>0</v>
      </c>
      <c r="V27" s="488"/>
      <c r="W27" s="489"/>
      <c r="X27" s="83">
        <f>SUM(F27:W27)</f>
        <v>1</v>
      </c>
      <c r="Z27" s="295">
        <f>1-(F27+I27+L27)</f>
        <v>0</v>
      </c>
      <c r="AB27" s="295">
        <f>I27-L27</f>
        <v>0.97500000000000009</v>
      </c>
    </row>
    <row r="28" spans="1:28">
      <c r="A28" s="449" t="s">
        <v>149</v>
      </c>
      <c r="B28" s="449"/>
      <c r="C28" s="449"/>
      <c r="D28" s="55">
        <f>SUM(D7:D27)</f>
        <v>100</v>
      </c>
      <c r="E28" s="56">
        <f>E7+E10+E13+E16+E19+E22+E25</f>
        <v>1466920.6300000001</v>
      </c>
      <c r="F28" s="484">
        <f>F29/$E$28</f>
        <v>0.21362328506348702</v>
      </c>
      <c r="G28" s="484"/>
      <c r="H28" s="484"/>
      <c r="I28" s="484">
        <f>I29/$E$28</f>
        <v>0.76962426168960474</v>
      </c>
      <c r="J28" s="484"/>
      <c r="K28" s="484"/>
      <c r="L28" s="484">
        <f>L29/$E$28</f>
        <v>1.6752453246908116E-2</v>
      </c>
      <c r="M28" s="484"/>
      <c r="N28" s="484"/>
      <c r="O28" s="485">
        <f>O29/$E$28</f>
        <v>0</v>
      </c>
      <c r="P28" s="485"/>
      <c r="Q28" s="486"/>
      <c r="R28" s="490">
        <f>R29/$E$28</f>
        <v>0</v>
      </c>
      <c r="S28" s="485"/>
      <c r="T28" s="486"/>
      <c r="U28" s="490">
        <f>U29/$E$28</f>
        <v>0</v>
      </c>
      <c r="V28" s="485"/>
      <c r="W28" s="486"/>
      <c r="X28" s="3">
        <f>SUM(F28:W28)</f>
        <v>0.99999999999999989</v>
      </c>
      <c r="Y28" s="3">
        <f>SUM(X25+X22+X19+X13+X16+X10+X7)</f>
        <v>1466920.6300000001</v>
      </c>
      <c r="AA28" s="295">
        <f>Z27+F27</f>
        <v>0</v>
      </c>
    </row>
    <row r="29" spans="1:28">
      <c r="A29" s="449" t="s">
        <v>150</v>
      </c>
      <c r="B29" s="449"/>
      <c r="C29" s="449"/>
      <c r="D29" s="498" t="s">
        <v>151</v>
      </c>
      <c r="E29" s="498"/>
      <c r="F29" s="499">
        <f>F7+F10+F13+F16+F19+F22+F25</f>
        <v>313368.40390799998</v>
      </c>
      <c r="G29" s="499"/>
      <c r="H29" s="499"/>
      <c r="I29" s="499">
        <f>I7+I10+I13+I16+I19+I22+I25</f>
        <v>1128977.706821</v>
      </c>
      <c r="J29" s="499"/>
      <c r="K29" s="499"/>
      <c r="L29" s="499">
        <f>L7+L10+L13+L16+L19+L22+L25</f>
        <v>24574.519271000001</v>
      </c>
      <c r="M29" s="499"/>
      <c r="N29" s="499"/>
      <c r="O29" s="500">
        <f>O7+O10+O13+O16+O19+O22+O25</f>
        <v>0</v>
      </c>
      <c r="P29" s="500"/>
      <c r="Q29" s="501"/>
      <c r="R29" s="502">
        <f>R7+R10+R13+R16+R19+R22+R25</f>
        <v>0</v>
      </c>
      <c r="S29" s="500"/>
      <c r="T29" s="501"/>
      <c r="U29" s="502">
        <f>U7+U10+U13+U16+U19+U22+U25</f>
        <v>0</v>
      </c>
      <c r="V29" s="500"/>
      <c r="W29" s="501"/>
      <c r="X29" s="3">
        <f>SUM(F29:W29)</f>
        <v>1466920.6300000001</v>
      </c>
    </row>
    <row r="30" spans="1:28">
      <c r="A30" s="449"/>
      <c r="B30" s="449"/>
      <c r="C30" s="449"/>
      <c r="D30" s="498" t="s">
        <v>152</v>
      </c>
      <c r="E30" s="498"/>
      <c r="F30" s="499">
        <f>F29</f>
        <v>313368.40390799998</v>
      </c>
      <c r="G30" s="499"/>
      <c r="H30" s="499"/>
      <c r="I30" s="499">
        <f>F30++I29</f>
        <v>1442346.1107290001</v>
      </c>
      <c r="J30" s="499"/>
      <c r="K30" s="499"/>
      <c r="L30" s="499">
        <f>I30++L29</f>
        <v>1466920.6300000001</v>
      </c>
      <c r="M30" s="499"/>
      <c r="N30" s="499"/>
      <c r="O30" s="500">
        <f>L30++O29</f>
        <v>1466920.6300000001</v>
      </c>
      <c r="P30" s="500"/>
      <c r="Q30" s="501"/>
      <c r="R30" s="502">
        <f>O30++R29</f>
        <v>1466920.6300000001</v>
      </c>
      <c r="S30" s="500"/>
      <c r="T30" s="501"/>
      <c r="U30" s="502">
        <f>R30++U29</f>
        <v>1466920.6300000001</v>
      </c>
      <c r="V30" s="500"/>
      <c r="W30" s="501"/>
      <c r="Y30" s="3">
        <f>[2]RESUMO!C44-[2]CFF!U42</f>
        <v>0</v>
      </c>
    </row>
    <row r="32" spans="1:28">
      <c r="E32" s="84">
        <f>SUM(E7:E27)</f>
        <v>1466920.6300000001</v>
      </c>
      <c r="L32" t="s">
        <v>211</v>
      </c>
      <c r="V32" s="50"/>
      <c r="Y32" s="50"/>
    </row>
    <row r="38" spans="25:34">
      <c r="Y38" s="292"/>
      <c r="Z38" s="297"/>
      <c r="AA38" s="297"/>
      <c r="AB38" s="297"/>
      <c r="AD38" s="294"/>
      <c r="AE38" s="294"/>
      <c r="AG38" s="296"/>
      <c r="AH38" s="296"/>
    </row>
    <row r="39" spans="25:34">
      <c r="Y39" s="292"/>
      <c r="Z39" s="297"/>
      <c r="AA39" s="297"/>
      <c r="AB39" s="297"/>
      <c r="AD39" s="294"/>
      <c r="AE39" s="294"/>
      <c r="AG39" s="296"/>
      <c r="AH39" s="296"/>
    </row>
    <row r="40" spans="25:34">
      <c r="Y40" s="292"/>
      <c r="Z40" s="297"/>
      <c r="AA40" s="297"/>
      <c r="AB40" s="297"/>
      <c r="AD40" s="294"/>
      <c r="AE40" s="294"/>
    </row>
    <row r="41" spans="25:34">
      <c r="Y41" s="294"/>
      <c r="Z41" s="297"/>
      <c r="AA41" s="297"/>
      <c r="AB41" s="297"/>
    </row>
    <row r="42" spans="25:34">
      <c r="AD42" s="297"/>
      <c r="AE42" s="297"/>
    </row>
    <row r="43" spans="25:34">
      <c r="Y43" s="293"/>
    </row>
  </sheetData>
  <mergeCells count="170">
    <mergeCell ref="U28:W28"/>
    <mergeCell ref="A29:C30"/>
    <mergeCell ref="D29:E29"/>
    <mergeCell ref="F29:H29"/>
    <mergeCell ref="I29:K29"/>
    <mergeCell ref="L29:N29"/>
    <mergeCell ref="O29:Q29"/>
    <mergeCell ref="R29:T29"/>
    <mergeCell ref="U29:W29"/>
    <mergeCell ref="D30:E30"/>
    <mergeCell ref="F30:H30"/>
    <mergeCell ref="I30:K30"/>
    <mergeCell ref="L30:N30"/>
    <mergeCell ref="O30:Q30"/>
    <mergeCell ref="R30:T30"/>
    <mergeCell ref="U30:W30"/>
    <mergeCell ref="B22:C24"/>
    <mergeCell ref="E22:E24"/>
    <mergeCell ref="L25:N25"/>
    <mergeCell ref="A28:C28"/>
    <mergeCell ref="F28:H28"/>
    <mergeCell ref="I28:K28"/>
    <mergeCell ref="L28:N28"/>
    <mergeCell ref="O28:Q28"/>
    <mergeCell ref="R28:T28"/>
    <mergeCell ref="O25:Q25"/>
    <mergeCell ref="R27:T27"/>
    <mergeCell ref="F22:H22"/>
    <mergeCell ref="R24:T24"/>
    <mergeCell ref="F23:H23"/>
    <mergeCell ref="I23:K23"/>
    <mergeCell ref="F26:H26"/>
    <mergeCell ref="I26:K26"/>
    <mergeCell ref="L26:N26"/>
    <mergeCell ref="D22:D24"/>
    <mergeCell ref="U22:W22"/>
    <mergeCell ref="F24:H24"/>
    <mergeCell ref="O24:Q24"/>
    <mergeCell ref="U24:W24"/>
    <mergeCell ref="A25:A27"/>
    <mergeCell ref="B25:C27"/>
    <mergeCell ref="D25:D27"/>
    <mergeCell ref="E25:E27"/>
    <mergeCell ref="F25:H25"/>
    <mergeCell ref="I25:K25"/>
    <mergeCell ref="L22:N22"/>
    <mergeCell ref="O22:Q22"/>
    <mergeCell ref="R22:T22"/>
    <mergeCell ref="I24:K24"/>
    <mergeCell ref="R25:T25"/>
    <mergeCell ref="L24:N24"/>
    <mergeCell ref="I22:K22"/>
    <mergeCell ref="A22:A24"/>
    <mergeCell ref="U25:W25"/>
    <mergeCell ref="F27:H27"/>
    <mergeCell ref="I27:K27"/>
    <mergeCell ref="L27:N27"/>
    <mergeCell ref="O27:Q27"/>
    <mergeCell ref="U27:W27"/>
    <mergeCell ref="A19:A21"/>
    <mergeCell ref="B19:C21"/>
    <mergeCell ref="D19:D21"/>
    <mergeCell ref="E19:E21"/>
    <mergeCell ref="F19:H19"/>
    <mergeCell ref="I19:K19"/>
    <mergeCell ref="F20:H20"/>
    <mergeCell ref="U19:W19"/>
    <mergeCell ref="F21:H21"/>
    <mergeCell ref="I21:K21"/>
    <mergeCell ref="L21:N21"/>
    <mergeCell ref="O21:Q21"/>
    <mergeCell ref="R21:T21"/>
    <mergeCell ref="U21:W21"/>
    <mergeCell ref="L19:N19"/>
    <mergeCell ref="O19:Q19"/>
    <mergeCell ref="R19:T19"/>
    <mergeCell ref="I20:K20"/>
    <mergeCell ref="L20:N20"/>
    <mergeCell ref="A16:A18"/>
    <mergeCell ref="B16:C18"/>
    <mergeCell ref="D16:D18"/>
    <mergeCell ref="E16:E18"/>
    <mergeCell ref="F16:H16"/>
    <mergeCell ref="L16:N16"/>
    <mergeCell ref="I18:K18"/>
    <mergeCell ref="F17:H17"/>
    <mergeCell ref="U16:W16"/>
    <mergeCell ref="F18:H18"/>
    <mergeCell ref="L18:N18"/>
    <mergeCell ref="O18:Q18"/>
    <mergeCell ref="R18:T18"/>
    <mergeCell ref="U18:W18"/>
    <mergeCell ref="U17:W17"/>
    <mergeCell ref="O16:Q16"/>
    <mergeCell ref="R16:T16"/>
    <mergeCell ref="I16:K16"/>
    <mergeCell ref="I17:K17"/>
    <mergeCell ref="L17:N17"/>
    <mergeCell ref="A13:A15"/>
    <mergeCell ref="B13:C15"/>
    <mergeCell ref="D13:D15"/>
    <mergeCell ref="E13:E15"/>
    <mergeCell ref="F13:H13"/>
    <mergeCell ref="L13:N13"/>
    <mergeCell ref="U13:W13"/>
    <mergeCell ref="F15:H15"/>
    <mergeCell ref="L15:N15"/>
    <mergeCell ref="O15:Q15"/>
    <mergeCell ref="R15:T15"/>
    <mergeCell ref="U15:W15"/>
    <mergeCell ref="U14:W14"/>
    <mergeCell ref="O13:Q13"/>
    <mergeCell ref="R13:T13"/>
    <mergeCell ref="I13:K13"/>
    <mergeCell ref="F14:H14"/>
    <mergeCell ref="I15:K15"/>
    <mergeCell ref="L14:N14"/>
    <mergeCell ref="I14:K14"/>
    <mergeCell ref="A10:A12"/>
    <mergeCell ref="B10:C12"/>
    <mergeCell ref="D10:D12"/>
    <mergeCell ref="E10:E12"/>
    <mergeCell ref="F10:H10"/>
    <mergeCell ref="I10:K10"/>
    <mergeCell ref="U10:W10"/>
    <mergeCell ref="F11:H11"/>
    <mergeCell ref="U11:W11"/>
    <mergeCell ref="F12:H12"/>
    <mergeCell ref="I12:K12"/>
    <mergeCell ref="L12:N12"/>
    <mergeCell ref="O12:Q12"/>
    <mergeCell ref="U12:W12"/>
    <mergeCell ref="O10:Q10"/>
    <mergeCell ref="L10:N10"/>
    <mergeCell ref="R10:T10"/>
    <mergeCell ref="R12:T12"/>
    <mergeCell ref="I11:K11"/>
    <mergeCell ref="L11:N11"/>
    <mergeCell ref="A1:E3"/>
    <mergeCell ref="A5:E5"/>
    <mergeCell ref="B6:C6"/>
    <mergeCell ref="F6:H6"/>
    <mergeCell ref="I6:K6"/>
    <mergeCell ref="L6:N6"/>
    <mergeCell ref="O6:Q6"/>
    <mergeCell ref="R6:T6"/>
    <mergeCell ref="U6:W6"/>
    <mergeCell ref="A4:N4"/>
    <mergeCell ref="F1:N3"/>
    <mergeCell ref="F5:N5"/>
    <mergeCell ref="U7:W7"/>
    <mergeCell ref="F8:H8"/>
    <mergeCell ref="U8:W8"/>
    <mergeCell ref="A7:A9"/>
    <mergeCell ref="B7:C9"/>
    <mergeCell ref="D7:D9"/>
    <mergeCell ref="E7:E9"/>
    <mergeCell ref="F7:H7"/>
    <mergeCell ref="I7:K7"/>
    <mergeCell ref="L7:N7"/>
    <mergeCell ref="O7:Q7"/>
    <mergeCell ref="R7:T7"/>
    <mergeCell ref="L9:N9"/>
    <mergeCell ref="O9:Q9"/>
    <mergeCell ref="R9:T9"/>
    <mergeCell ref="U9:W9"/>
    <mergeCell ref="F9:H9"/>
    <mergeCell ref="I9:K9"/>
    <mergeCell ref="I8:K8"/>
    <mergeCell ref="L8:N8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8">
    <pageSetUpPr fitToPage="1"/>
  </sheetPr>
  <dimension ref="A1:X32"/>
  <sheetViews>
    <sheetView zoomScale="90" zoomScaleNormal="90" workbookViewId="0">
      <selection activeCell="A16" sqref="A1:X16"/>
    </sheetView>
  </sheetViews>
  <sheetFormatPr defaultRowHeight="12.75"/>
  <cols>
    <col min="1" max="1" width="32.42578125" customWidth="1"/>
    <col min="2" max="2" width="3.7109375" customWidth="1"/>
    <col min="3" max="3" width="2.7109375" customWidth="1"/>
    <col min="4" max="4" width="6.7109375" customWidth="1"/>
    <col min="5" max="5" width="4.7109375" customWidth="1"/>
    <col min="6" max="6" width="2.7109375" customWidth="1"/>
    <col min="7" max="7" width="6.7109375" customWidth="1"/>
    <col min="8" max="8" width="13.7109375" customWidth="1"/>
    <col min="9" max="9" width="7.7109375" customWidth="1"/>
    <col min="10" max="11" width="8" customWidth="1"/>
    <col min="12" max="12" width="9.28515625" customWidth="1"/>
    <col min="13" max="13" width="16.85546875" customWidth="1"/>
    <col min="14" max="14" width="13.7109375" customWidth="1"/>
    <col min="15" max="15" width="10.42578125" customWidth="1"/>
    <col min="16" max="16" width="14.28515625" customWidth="1"/>
    <col min="17" max="17" width="12.5703125" customWidth="1"/>
    <col min="18" max="18" width="11.42578125" customWidth="1"/>
    <col min="19" max="19" width="14.7109375" customWidth="1"/>
    <col min="20" max="20" width="12.42578125" customWidth="1"/>
    <col min="21" max="21" width="11" bestFit="1" customWidth="1"/>
    <col min="22" max="22" width="13.42578125" customWidth="1"/>
    <col min="23" max="23" width="13.42578125" style="370" customWidth="1"/>
    <col min="24" max="24" width="14.7109375" customWidth="1"/>
  </cols>
  <sheetData>
    <row r="1" spans="1:24" s="79" customFormat="1" ht="15.75" customHeight="1">
      <c r="A1" s="518" t="s">
        <v>264</v>
      </c>
      <c r="B1" s="519"/>
      <c r="C1" s="519"/>
      <c r="D1" s="519"/>
      <c r="E1" s="519"/>
      <c r="F1" s="519"/>
      <c r="G1" s="519"/>
      <c r="H1" s="519"/>
      <c r="I1" s="519"/>
      <c r="J1" s="519"/>
      <c r="K1" s="519"/>
      <c r="L1" s="519"/>
      <c r="M1" s="519"/>
      <c r="N1" s="504" t="str">
        <f>RESUMO!B34</f>
        <v>GONÇALO BOTELHO</v>
      </c>
      <c r="O1" s="504"/>
      <c r="P1" s="504"/>
      <c r="Q1" s="504"/>
      <c r="R1" s="504"/>
      <c r="S1" s="504"/>
      <c r="T1" s="504"/>
      <c r="U1" s="504"/>
      <c r="V1" s="504"/>
      <c r="W1" s="505"/>
      <c r="X1" s="506"/>
    </row>
    <row r="2" spans="1:24" s="2" customFormat="1" ht="15.75">
      <c r="A2" s="507" t="s">
        <v>60</v>
      </c>
      <c r="B2" s="508"/>
      <c r="C2" s="508"/>
      <c r="D2" s="508"/>
      <c r="E2" s="508"/>
      <c r="F2" s="508"/>
      <c r="G2" s="508"/>
      <c r="H2" s="508"/>
      <c r="I2" s="508"/>
      <c r="J2" s="508"/>
      <c r="K2" s="508"/>
      <c r="L2" s="508"/>
      <c r="M2" s="508"/>
      <c r="N2" s="508"/>
      <c r="O2" s="508"/>
      <c r="P2" s="508"/>
      <c r="Q2" s="508"/>
      <c r="R2" s="508"/>
      <c r="S2" s="508"/>
      <c r="T2" s="508"/>
      <c r="U2" s="508"/>
      <c r="V2" s="508"/>
      <c r="W2" s="509"/>
      <c r="X2" s="510"/>
    </row>
    <row r="3" spans="1:24" ht="15">
      <c r="A3" s="513" t="s">
        <v>61</v>
      </c>
      <c r="B3" s="515" t="s">
        <v>62</v>
      </c>
      <c r="C3" s="515"/>
      <c r="D3" s="515"/>
      <c r="E3" s="515"/>
      <c r="F3" s="515"/>
      <c r="G3" s="515"/>
      <c r="H3" s="503" t="s">
        <v>63</v>
      </c>
      <c r="I3" s="503" t="s">
        <v>64</v>
      </c>
      <c r="J3" s="503"/>
      <c r="K3" s="503"/>
      <c r="L3" s="503"/>
      <c r="M3" s="503" t="s">
        <v>85</v>
      </c>
      <c r="N3" s="503" t="s">
        <v>3</v>
      </c>
      <c r="O3" s="512"/>
      <c r="P3" s="503" t="s">
        <v>65</v>
      </c>
      <c r="Q3" s="503" t="s">
        <v>66</v>
      </c>
      <c r="R3" s="503" t="s">
        <v>67</v>
      </c>
      <c r="S3" s="503" t="s">
        <v>68</v>
      </c>
      <c r="T3" s="503" t="s">
        <v>79</v>
      </c>
      <c r="U3" s="503" t="s">
        <v>214</v>
      </c>
      <c r="V3" s="503" t="s">
        <v>69</v>
      </c>
      <c r="W3" s="503" t="s">
        <v>317</v>
      </c>
      <c r="X3" s="511" t="s">
        <v>312</v>
      </c>
    </row>
    <row r="4" spans="1:24" ht="15">
      <c r="A4" s="514"/>
      <c r="B4" s="515" t="s">
        <v>70</v>
      </c>
      <c r="C4" s="516"/>
      <c r="D4" s="516"/>
      <c r="E4" s="515" t="s">
        <v>71</v>
      </c>
      <c r="F4" s="516"/>
      <c r="G4" s="516"/>
      <c r="H4" s="512"/>
      <c r="I4" s="512" t="s">
        <v>72</v>
      </c>
      <c r="J4" s="517" t="s">
        <v>73</v>
      </c>
      <c r="K4" s="517"/>
      <c r="L4" s="512" t="s">
        <v>72</v>
      </c>
      <c r="M4" s="503"/>
      <c r="N4" s="503" t="s">
        <v>74</v>
      </c>
      <c r="O4" s="503" t="s">
        <v>75</v>
      </c>
      <c r="P4" s="503"/>
      <c r="Q4" s="512"/>
      <c r="R4" s="512"/>
      <c r="S4" s="512"/>
      <c r="T4" s="512"/>
      <c r="U4" s="512"/>
      <c r="V4" s="503"/>
      <c r="W4" s="503"/>
      <c r="X4" s="511"/>
    </row>
    <row r="5" spans="1:24" ht="15">
      <c r="A5" s="514"/>
      <c r="B5" s="516"/>
      <c r="C5" s="516"/>
      <c r="D5" s="516"/>
      <c r="E5" s="516"/>
      <c r="F5" s="516"/>
      <c r="G5" s="516"/>
      <c r="H5" s="512"/>
      <c r="I5" s="512"/>
      <c r="J5" s="331" t="s">
        <v>76</v>
      </c>
      <c r="K5" s="331" t="s">
        <v>77</v>
      </c>
      <c r="L5" s="512"/>
      <c r="M5" s="503"/>
      <c r="N5" s="512"/>
      <c r="O5" s="512"/>
      <c r="P5" s="503"/>
      <c r="Q5" s="512"/>
      <c r="R5" s="512"/>
      <c r="S5" s="512"/>
      <c r="T5" s="512"/>
      <c r="U5" s="512"/>
      <c r="V5" s="503"/>
      <c r="W5" s="503"/>
      <c r="X5" s="511"/>
    </row>
    <row r="6" spans="1:24" ht="15">
      <c r="A6" s="90" t="s">
        <v>268</v>
      </c>
      <c r="B6" s="91">
        <v>0</v>
      </c>
      <c r="C6" s="92" t="s">
        <v>78</v>
      </c>
      <c r="D6" s="93">
        <v>0</v>
      </c>
      <c r="E6" s="91">
        <v>7</v>
      </c>
      <c r="F6" s="91" t="s">
        <v>78</v>
      </c>
      <c r="G6" s="93">
        <v>2.2999999999999998</v>
      </c>
      <c r="H6" s="94">
        <f>(E6*20+G6)-(B6*20+D6)</f>
        <v>142.30000000000001</v>
      </c>
      <c r="I6" s="95">
        <v>0.5</v>
      </c>
      <c r="J6" s="95">
        <v>3</v>
      </c>
      <c r="K6" s="95">
        <v>3</v>
      </c>
      <c r="L6" s="95">
        <v>0.5</v>
      </c>
      <c r="M6" s="95">
        <v>506.5</v>
      </c>
      <c r="N6" s="97">
        <v>0.75</v>
      </c>
      <c r="O6" s="97">
        <v>3.68</v>
      </c>
      <c r="P6" s="96">
        <f>INT((I6+J6+K6+L6)*H6*100+0.5)/100</f>
        <v>996.1</v>
      </c>
      <c r="Q6" s="96">
        <f t="shared" ref="Q6:Q13" si="0">INT((I6+J6+K6+L6)*H6*0.15*100+0.5)/100</f>
        <v>149.41999999999999</v>
      </c>
      <c r="R6" s="96">
        <f t="shared" ref="R6:R13" si="1">INT((I6+J6+K6+L6)*H6*0.2*100+0.5)/100</f>
        <v>199.22</v>
      </c>
      <c r="S6" s="93">
        <f t="shared" ref="S6:S13" si="2">INT((J6-0.3+K6-0.3)*H6*100+0.5)/100</f>
        <v>768.42</v>
      </c>
      <c r="T6" s="93">
        <f>INT(((J6-0.3+K6-0.3))*H6*100+0.5)/100</f>
        <v>768.42</v>
      </c>
      <c r="U6" s="93">
        <f>S6*0.04</f>
        <v>30.736799999999999</v>
      </c>
      <c r="V6" s="93">
        <f>(H6*2)</f>
        <v>284.60000000000002</v>
      </c>
      <c r="W6" s="378">
        <f>(H6*2)-(4*3.5)</f>
        <v>270.60000000000002</v>
      </c>
      <c r="X6" s="376">
        <f>((H6*2)-(4*3.5))*1.5*0.06</f>
        <v>24.354000000000003</v>
      </c>
    </row>
    <row r="7" spans="1:24" ht="15">
      <c r="A7" s="90" t="s">
        <v>153</v>
      </c>
      <c r="B7" s="91">
        <v>0</v>
      </c>
      <c r="C7" s="92" t="s">
        <v>78</v>
      </c>
      <c r="D7" s="93">
        <v>0</v>
      </c>
      <c r="E7" s="91">
        <v>0</v>
      </c>
      <c r="F7" s="91" t="s">
        <v>78</v>
      </c>
      <c r="G7" s="93">
        <v>0</v>
      </c>
      <c r="H7" s="94">
        <v>0</v>
      </c>
      <c r="I7" s="95">
        <v>0.5</v>
      </c>
      <c r="J7" s="95">
        <v>3</v>
      </c>
      <c r="K7" s="95">
        <v>3</v>
      </c>
      <c r="L7" s="95">
        <v>0.5</v>
      </c>
      <c r="M7" s="95">
        <f>H7*3</f>
        <v>0</v>
      </c>
      <c r="N7" s="97">
        <f>H7*(I7+J7+K7+L7)*0.65</f>
        <v>0</v>
      </c>
      <c r="O7" s="97"/>
      <c r="P7" s="96">
        <f>INT((I7+J7+K7+L7)*H7*100+0.5)/100</f>
        <v>0</v>
      </c>
      <c r="Q7" s="96">
        <f t="shared" si="0"/>
        <v>0</v>
      </c>
      <c r="R7" s="96">
        <f t="shared" si="1"/>
        <v>0</v>
      </c>
      <c r="S7" s="93">
        <f t="shared" si="2"/>
        <v>0</v>
      </c>
      <c r="T7" s="93">
        <f>INT(((J7-0.3+K7-0.3))*H7*100+0.5)/100</f>
        <v>0</v>
      </c>
      <c r="U7" s="93">
        <f>S7*0.04</f>
        <v>0</v>
      </c>
      <c r="V7" s="93">
        <v>0</v>
      </c>
      <c r="W7" s="379"/>
      <c r="X7" s="377"/>
    </row>
    <row r="8" spans="1:24" ht="15.75">
      <c r="A8" s="333"/>
      <c r="B8" s="98"/>
      <c r="C8" s="99"/>
      <c r="D8" s="100"/>
      <c r="E8" s="98"/>
      <c r="F8" s="98"/>
      <c r="G8" s="100"/>
      <c r="H8" s="101"/>
      <c r="I8" s="102"/>
      <c r="J8" s="102"/>
      <c r="K8" s="102"/>
      <c r="L8" s="100"/>
      <c r="M8" s="100"/>
      <c r="N8" s="103"/>
      <c r="O8" s="103"/>
      <c r="P8" s="103"/>
      <c r="Q8" s="96"/>
      <c r="R8" s="96"/>
      <c r="S8" s="93"/>
      <c r="T8" s="100"/>
      <c r="U8" s="103"/>
      <c r="V8" s="100"/>
      <c r="W8" s="379"/>
      <c r="X8" s="377"/>
    </row>
    <row r="9" spans="1:24" ht="15">
      <c r="A9" s="90" t="s">
        <v>269</v>
      </c>
      <c r="B9" s="91">
        <v>0</v>
      </c>
      <c r="C9" s="92" t="s">
        <v>78</v>
      </c>
      <c r="D9" s="93">
        <v>0</v>
      </c>
      <c r="E9" s="91">
        <v>5</v>
      </c>
      <c r="F9" s="91" t="s">
        <v>78</v>
      </c>
      <c r="G9" s="93">
        <v>12.208</v>
      </c>
      <c r="H9" s="94">
        <f>(E9*20+G9)-(B9*20+D9)</f>
        <v>112.208</v>
      </c>
      <c r="I9" s="95">
        <v>0.5</v>
      </c>
      <c r="J9" s="95">
        <v>3</v>
      </c>
      <c r="K9" s="95">
        <v>3</v>
      </c>
      <c r="L9" s="95">
        <v>0.5</v>
      </c>
      <c r="M9" s="95">
        <v>371.76</v>
      </c>
      <c r="N9" s="97">
        <v>2.3199999999999998</v>
      </c>
      <c r="O9" s="97">
        <v>1.04</v>
      </c>
      <c r="P9" s="96">
        <f>INT((I9+J9+K9+L9)*H9*100+0.5)/100</f>
        <v>785.46</v>
      </c>
      <c r="Q9" s="96">
        <f t="shared" si="0"/>
        <v>117.82</v>
      </c>
      <c r="R9" s="96">
        <f t="shared" si="1"/>
        <v>157.09</v>
      </c>
      <c r="S9" s="93">
        <f t="shared" si="2"/>
        <v>605.91999999999996</v>
      </c>
      <c r="T9" s="93">
        <f>INT(((J9-0.3+K9-0.3))*H9*100+0.5)/100</f>
        <v>605.91999999999996</v>
      </c>
      <c r="U9" s="93">
        <f>S9*0.04</f>
        <v>24.236799999999999</v>
      </c>
      <c r="V9" s="93">
        <f>(H9*2)</f>
        <v>224.416</v>
      </c>
      <c r="W9" s="378">
        <f>(H9*2)-(4*3.5)</f>
        <v>210.416</v>
      </c>
      <c r="X9" s="376">
        <f>((H9*2)-(4*3.5))*1.5*0.06</f>
        <v>18.937440000000002</v>
      </c>
    </row>
    <row r="10" spans="1:24" ht="15">
      <c r="A10" s="90" t="s">
        <v>153</v>
      </c>
      <c r="B10" s="91">
        <v>0</v>
      </c>
      <c r="C10" s="92" t="s">
        <v>78</v>
      </c>
      <c r="D10" s="93">
        <v>0</v>
      </c>
      <c r="E10" s="91">
        <v>0</v>
      </c>
      <c r="F10" s="91" t="s">
        <v>78</v>
      </c>
      <c r="G10" s="93">
        <v>0</v>
      </c>
      <c r="H10" s="94">
        <v>0</v>
      </c>
      <c r="I10" s="95">
        <v>0.5</v>
      </c>
      <c r="J10" s="95">
        <v>3</v>
      </c>
      <c r="K10" s="95">
        <v>3</v>
      </c>
      <c r="L10" s="95">
        <v>0.5</v>
      </c>
      <c r="M10" s="95">
        <f>H10*3</f>
        <v>0</v>
      </c>
      <c r="N10" s="97">
        <f>H10*(I10+J10+K10+L10)*0.65</f>
        <v>0</v>
      </c>
      <c r="O10" s="97"/>
      <c r="P10" s="96">
        <f>INT((I10+J10+K10+L10)*H10*100+0.5)/100</f>
        <v>0</v>
      </c>
      <c r="Q10" s="96">
        <f t="shared" si="0"/>
        <v>0</v>
      </c>
      <c r="R10" s="96">
        <f t="shared" si="1"/>
        <v>0</v>
      </c>
      <c r="S10" s="93">
        <f t="shared" si="2"/>
        <v>0</v>
      </c>
      <c r="T10" s="93">
        <f>INT(((J10-0.3+K10-0.3))*H10*100+0.5)/100</f>
        <v>0</v>
      </c>
      <c r="U10" s="93">
        <f>S10*0.04</f>
        <v>0</v>
      </c>
      <c r="V10" s="93">
        <v>0</v>
      </c>
      <c r="W10" s="379"/>
      <c r="X10" s="377"/>
    </row>
    <row r="11" spans="1:24" ht="15.75">
      <c r="A11" s="333"/>
      <c r="B11" s="98"/>
      <c r="C11" s="99"/>
      <c r="D11" s="100"/>
      <c r="E11" s="98"/>
      <c r="F11" s="98"/>
      <c r="G11" s="100"/>
      <c r="H11" s="101"/>
      <c r="I11" s="102"/>
      <c r="J11" s="102"/>
      <c r="K11" s="102"/>
      <c r="L11" s="100"/>
      <c r="M11" s="100"/>
      <c r="N11" s="103"/>
      <c r="O11" s="103"/>
      <c r="P11" s="103"/>
      <c r="Q11" s="96"/>
      <c r="R11" s="96"/>
      <c r="S11" s="93"/>
      <c r="T11" s="100"/>
      <c r="U11" s="103"/>
      <c r="V11" s="100"/>
      <c r="W11" s="379"/>
      <c r="X11" s="377"/>
    </row>
    <row r="12" spans="1:24" ht="15">
      <c r="A12" s="90" t="s">
        <v>270</v>
      </c>
      <c r="B12" s="91">
        <v>0</v>
      </c>
      <c r="C12" s="92" t="s">
        <v>78</v>
      </c>
      <c r="D12" s="93">
        <v>0</v>
      </c>
      <c r="E12" s="91">
        <v>34</v>
      </c>
      <c r="F12" s="91" t="s">
        <v>78</v>
      </c>
      <c r="G12" s="93">
        <v>10.286</v>
      </c>
      <c r="H12" s="94">
        <f>(E12*20+G12)-(B12*20+D12)</f>
        <v>690.28599999999994</v>
      </c>
      <c r="I12" s="95">
        <v>0.5</v>
      </c>
      <c r="J12" s="95">
        <v>3</v>
      </c>
      <c r="K12" s="95">
        <v>3</v>
      </c>
      <c r="L12" s="95">
        <v>0.5</v>
      </c>
      <c r="M12" s="95">
        <f>ROUND((H12*3),2)</f>
        <v>2070.86</v>
      </c>
      <c r="N12" s="97">
        <v>505.59</v>
      </c>
      <c r="O12" s="97">
        <v>0.66</v>
      </c>
      <c r="P12" s="96">
        <f>INT((I12+J12+K12+L12)*H12*100+0.5)/100</f>
        <v>4832</v>
      </c>
      <c r="Q12" s="96">
        <f t="shared" si="0"/>
        <v>724.8</v>
      </c>
      <c r="R12" s="96">
        <f t="shared" si="1"/>
        <v>966.4</v>
      </c>
      <c r="S12" s="93">
        <f t="shared" si="2"/>
        <v>3727.54</v>
      </c>
      <c r="T12" s="93">
        <f>INT(((J12-0.3+K12-0.3))*H12*100+0.5)/100</f>
        <v>3727.54</v>
      </c>
      <c r="U12" s="93">
        <f>S12*0.04</f>
        <v>149.10159999999999</v>
      </c>
      <c r="V12" s="93">
        <f>(H12*2)-(5*6)</f>
        <v>1350.5719999999999</v>
      </c>
      <c r="W12" s="378">
        <f>(H12*2)-(12*3.5)</f>
        <v>1338.5719999999999</v>
      </c>
      <c r="X12" s="376">
        <f>((H12*2)-(12*3.5))*1.5*0.06</f>
        <v>120.47147999999999</v>
      </c>
    </row>
    <row r="13" spans="1:24" ht="15">
      <c r="A13" s="90" t="s">
        <v>271</v>
      </c>
      <c r="B13" s="91">
        <v>0</v>
      </c>
      <c r="C13" s="92" t="s">
        <v>78</v>
      </c>
      <c r="D13" s="93">
        <v>0</v>
      </c>
      <c r="E13" s="91">
        <v>0</v>
      </c>
      <c r="F13" s="91" t="s">
        <v>78</v>
      </c>
      <c r="G13" s="93">
        <v>0</v>
      </c>
      <c r="H13" s="94">
        <v>20</v>
      </c>
      <c r="I13" s="95">
        <v>0.5</v>
      </c>
      <c r="J13" s="95">
        <v>3</v>
      </c>
      <c r="K13" s="95">
        <v>3</v>
      </c>
      <c r="L13" s="95">
        <v>0.5</v>
      </c>
      <c r="M13" s="95">
        <f>H13*3</f>
        <v>60</v>
      </c>
      <c r="N13" s="97">
        <f>ROUND((H13*(I13+J13+K13+L13)*0.65),2)</f>
        <v>91</v>
      </c>
      <c r="O13" s="97"/>
      <c r="P13" s="96">
        <f>INT((I13+J13+K13+L13)*H13*100+0.5)/100</f>
        <v>140</v>
      </c>
      <c r="Q13" s="96">
        <f t="shared" si="0"/>
        <v>21</v>
      </c>
      <c r="R13" s="96">
        <f t="shared" si="1"/>
        <v>28</v>
      </c>
      <c r="S13" s="93">
        <f t="shared" si="2"/>
        <v>108</v>
      </c>
      <c r="T13" s="93">
        <f>INT(((J13-0.3+K13-0.3))*H13*100+0.5)/100</f>
        <v>108</v>
      </c>
      <c r="U13" s="93">
        <f>S13*0.04</f>
        <v>4.32</v>
      </c>
      <c r="V13" s="93">
        <f>H13</f>
        <v>20</v>
      </c>
      <c r="W13" s="378">
        <f>(H13*2)-(2*3.5)</f>
        <v>33</v>
      </c>
      <c r="X13" s="376">
        <f>((H13*2)-(2*3.5))*1.5*0.06</f>
        <v>2.9699999999999998</v>
      </c>
    </row>
    <row r="14" spans="1:24" ht="15.75">
      <c r="A14" s="333"/>
      <c r="B14" s="98"/>
      <c r="C14" s="99"/>
      <c r="D14" s="100"/>
      <c r="E14" s="98"/>
      <c r="F14" s="98"/>
      <c r="G14" s="100"/>
      <c r="H14" s="101"/>
      <c r="I14" s="102"/>
      <c r="J14" s="102"/>
      <c r="K14" s="102"/>
      <c r="L14" s="100"/>
      <c r="M14" s="100"/>
      <c r="N14" s="103"/>
      <c r="O14" s="103"/>
      <c r="P14" s="103"/>
      <c r="Q14" s="96"/>
      <c r="R14" s="96"/>
      <c r="S14" s="93"/>
      <c r="T14" s="100"/>
      <c r="U14" s="103"/>
      <c r="V14" s="100"/>
      <c r="W14" s="374"/>
      <c r="X14" s="332"/>
    </row>
    <row r="15" spans="1:24" ht="15.75">
      <c r="A15" s="333"/>
      <c r="B15" s="98"/>
      <c r="C15" s="99"/>
      <c r="D15" s="100"/>
      <c r="E15" s="98"/>
      <c r="F15" s="98"/>
      <c r="G15" s="100"/>
      <c r="H15" s="101"/>
      <c r="I15" s="102"/>
      <c r="J15" s="102"/>
      <c r="K15" s="102"/>
      <c r="L15" s="100"/>
      <c r="M15" s="100"/>
      <c r="N15" s="103"/>
      <c r="O15" s="103"/>
      <c r="P15" s="103"/>
      <c r="Q15" s="96"/>
      <c r="R15" s="96"/>
      <c r="S15" s="93"/>
      <c r="T15" s="100"/>
      <c r="U15" s="103"/>
      <c r="V15" s="100"/>
      <c r="W15" s="374"/>
      <c r="X15" s="332"/>
    </row>
    <row r="16" spans="1:24" ht="16.5" thickBot="1">
      <c r="A16" s="334" t="s">
        <v>15</v>
      </c>
      <c r="B16" s="104"/>
      <c r="C16" s="105"/>
      <c r="D16" s="106"/>
      <c r="E16" s="104"/>
      <c r="F16" s="104"/>
      <c r="G16" s="106"/>
      <c r="H16" s="213">
        <f>SUM(H6:H15)</f>
        <v>964.79399999999998</v>
      </c>
      <c r="I16" s="108"/>
      <c r="J16" s="108"/>
      <c r="K16" s="108"/>
      <c r="L16" s="108"/>
      <c r="M16" s="107">
        <f t="shared" ref="M16:V16" si="3">SUM(M6:M15)</f>
        <v>3009.12</v>
      </c>
      <c r="N16" s="107">
        <f t="shared" si="3"/>
        <v>599.66</v>
      </c>
      <c r="O16" s="107">
        <f t="shared" si="3"/>
        <v>5.3800000000000008</v>
      </c>
      <c r="P16" s="107">
        <f t="shared" si="3"/>
        <v>6753.5599999999995</v>
      </c>
      <c r="Q16" s="107">
        <f t="shared" si="3"/>
        <v>1013.04</v>
      </c>
      <c r="R16" s="107">
        <f t="shared" si="3"/>
        <v>1350.71</v>
      </c>
      <c r="S16" s="107">
        <f t="shared" si="3"/>
        <v>5209.88</v>
      </c>
      <c r="T16" s="107">
        <f t="shared" si="3"/>
        <v>5209.88</v>
      </c>
      <c r="U16" s="107">
        <f t="shared" si="3"/>
        <v>208.39519999999999</v>
      </c>
      <c r="V16" s="107">
        <f t="shared" si="3"/>
        <v>1879.588</v>
      </c>
      <c r="W16" s="375">
        <f>SUM(W6:W15)</f>
        <v>1852.588</v>
      </c>
      <c r="X16" s="191">
        <f>SUM(X6:X15)</f>
        <v>166.73292000000001</v>
      </c>
    </row>
    <row r="18" spans="7:24">
      <c r="H18">
        <v>1297.43</v>
      </c>
    </row>
    <row r="19" spans="7:24">
      <c r="H19" s="86">
        <f>H16+H18</f>
        <v>2262.2240000000002</v>
      </c>
    </row>
    <row r="21" spans="7:24">
      <c r="G21" s="335"/>
      <c r="H21" s="335"/>
      <c r="I21" s="335"/>
      <c r="J21" s="335"/>
      <c r="K21" s="335"/>
      <c r="L21" s="335"/>
      <c r="M21" s="335"/>
      <c r="N21" s="335"/>
      <c r="O21" s="335"/>
      <c r="P21" s="335"/>
      <c r="Q21" s="335"/>
      <c r="R21" s="335"/>
      <c r="S21" s="335"/>
      <c r="T21" s="335"/>
      <c r="U21" s="335"/>
      <c r="V21" s="335"/>
      <c r="W21" s="335"/>
      <c r="X21" s="335"/>
    </row>
    <row r="22" spans="7:24">
      <c r="G22" s="335"/>
      <c r="H22" s="336"/>
      <c r="I22" s="335"/>
      <c r="J22" s="335"/>
      <c r="K22" s="335"/>
      <c r="L22" s="335"/>
      <c r="M22" s="335"/>
      <c r="N22" s="335"/>
      <c r="O22" s="335"/>
      <c r="P22" s="335"/>
      <c r="Q22" s="335"/>
      <c r="R22" s="335"/>
      <c r="S22" s="335"/>
      <c r="T22" s="335"/>
      <c r="U22" s="335"/>
      <c r="V22" s="335"/>
      <c r="W22" s="335"/>
      <c r="X22" s="335"/>
    </row>
    <row r="23" spans="7:24">
      <c r="G23" s="335"/>
      <c r="H23" s="337"/>
      <c r="I23" s="335"/>
      <c r="J23" s="335"/>
      <c r="K23" s="335"/>
      <c r="L23" s="335"/>
      <c r="M23" s="335"/>
      <c r="N23" s="335"/>
      <c r="O23" s="335"/>
      <c r="P23" s="335"/>
      <c r="Q23" s="335"/>
      <c r="R23" s="335"/>
      <c r="S23" s="335"/>
      <c r="T23" s="335"/>
      <c r="U23" s="335"/>
      <c r="V23" s="335"/>
      <c r="W23" s="335"/>
      <c r="X23" s="335"/>
    </row>
    <row r="24" spans="7:24">
      <c r="G24" s="335"/>
      <c r="H24" s="335"/>
      <c r="I24" s="335"/>
      <c r="J24" s="335"/>
      <c r="K24" s="335"/>
      <c r="L24" s="335"/>
      <c r="M24" s="335"/>
      <c r="N24" s="335"/>
      <c r="O24" s="335"/>
      <c r="P24" s="335"/>
      <c r="Q24" s="335"/>
      <c r="R24" s="335"/>
      <c r="S24" s="335"/>
      <c r="T24" s="335"/>
      <c r="U24" s="335"/>
      <c r="V24" s="335"/>
      <c r="W24" s="335"/>
      <c r="X24" s="335"/>
    </row>
    <row r="25" spans="7:24">
      <c r="G25" s="335"/>
      <c r="H25" s="335"/>
      <c r="I25" s="335"/>
      <c r="J25" s="335"/>
      <c r="K25" s="335"/>
      <c r="L25" s="335"/>
      <c r="M25" s="335"/>
      <c r="N25" s="335"/>
      <c r="O25" s="335"/>
      <c r="P25" s="335"/>
      <c r="Q25" s="335"/>
      <c r="R25" s="335"/>
      <c r="S25" s="335"/>
      <c r="T25" s="335"/>
      <c r="U25" s="335"/>
      <c r="V25" s="335"/>
      <c r="W25" s="335"/>
      <c r="X25" s="335"/>
    </row>
    <row r="26" spans="7:24">
      <c r="G26" s="335"/>
      <c r="H26" s="335"/>
      <c r="I26" s="335"/>
      <c r="J26" s="335"/>
      <c r="K26" s="335"/>
      <c r="L26" s="335"/>
      <c r="M26" s="335"/>
      <c r="N26" s="335"/>
      <c r="O26" s="335"/>
      <c r="P26" s="335"/>
      <c r="Q26" s="335"/>
      <c r="R26" s="335"/>
      <c r="S26" s="335"/>
      <c r="T26" s="335"/>
      <c r="U26" s="335"/>
      <c r="V26" s="335"/>
      <c r="W26" s="335"/>
      <c r="X26" s="335"/>
    </row>
    <row r="27" spans="7:24">
      <c r="G27" s="335"/>
      <c r="H27" s="335"/>
      <c r="I27" s="335"/>
      <c r="J27" s="335"/>
      <c r="K27" s="335"/>
      <c r="L27" s="335"/>
      <c r="M27" s="335"/>
      <c r="N27" s="335"/>
      <c r="O27" s="335"/>
      <c r="P27" s="335"/>
      <c r="Q27" s="335"/>
      <c r="R27" s="335"/>
      <c r="S27" s="335"/>
      <c r="T27" s="335"/>
      <c r="U27" s="335"/>
      <c r="V27" s="335"/>
      <c r="W27" s="335"/>
      <c r="X27" s="335"/>
    </row>
    <row r="28" spans="7:24">
      <c r="G28" s="335"/>
      <c r="H28" s="335"/>
      <c r="I28" s="335"/>
      <c r="J28" s="335"/>
      <c r="K28" s="335"/>
      <c r="L28" s="335"/>
      <c r="M28" s="335"/>
      <c r="N28" s="335"/>
      <c r="O28" s="335"/>
      <c r="P28" s="335"/>
      <c r="Q28" s="335"/>
      <c r="R28" s="335"/>
      <c r="S28" s="335"/>
      <c r="T28" s="335"/>
      <c r="U28" s="335"/>
      <c r="V28" s="335"/>
      <c r="W28" s="335"/>
      <c r="X28" s="335"/>
    </row>
    <row r="29" spans="7:24">
      <c r="G29" s="335"/>
      <c r="H29" s="335"/>
      <c r="I29" s="335"/>
      <c r="J29" s="335"/>
      <c r="K29" s="335"/>
      <c r="L29" s="335"/>
      <c r="M29" s="335"/>
      <c r="N29" s="335"/>
      <c r="O29" s="335"/>
      <c r="P29" s="335"/>
      <c r="Q29" s="335"/>
      <c r="R29" s="335"/>
      <c r="S29" s="335"/>
      <c r="T29" s="335"/>
      <c r="U29" s="335"/>
      <c r="V29" s="335"/>
      <c r="W29" s="335"/>
      <c r="X29" s="335"/>
    </row>
    <row r="30" spans="7:24">
      <c r="G30" s="335"/>
      <c r="H30" s="335"/>
      <c r="I30" s="335"/>
      <c r="J30" s="335"/>
      <c r="K30" s="335"/>
      <c r="L30" s="335"/>
      <c r="M30" s="335"/>
      <c r="N30" s="335"/>
      <c r="O30" s="335"/>
      <c r="P30" s="335"/>
      <c r="Q30" s="335"/>
      <c r="R30" s="335"/>
      <c r="S30" s="335"/>
      <c r="T30" s="335"/>
      <c r="U30" s="335"/>
      <c r="V30" s="335"/>
      <c r="W30" s="335"/>
      <c r="X30" s="336"/>
    </row>
    <row r="31" spans="7:24">
      <c r="G31" s="335"/>
      <c r="H31" s="335"/>
      <c r="I31" s="335"/>
      <c r="J31" s="335"/>
      <c r="K31" s="335"/>
      <c r="L31" s="335"/>
      <c r="M31" s="335"/>
      <c r="N31" s="335"/>
      <c r="O31" s="335"/>
      <c r="P31" s="335"/>
      <c r="Q31" s="335"/>
      <c r="R31" s="335"/>
      <c r="S31" s="335"/>
      <c r="T31" s="335"/>
      <c r="U31" s="335"/>
      <c r="V31" s="335"/>
      <c r="W31" s="335"/>
      <c r="X31" s="336"/>
    </row>
    <row r="32" spans="7:24">
      <c r="G32" s="335"/>
      <c r="H32" s="335"/>
      <c r="I32" s="335"/>
      <c r="J32" s="335"/>
      <c r="K32" s="335"/>
      <c r="L32" s="335"/>
      <c r="M32" s="335"/>
      <c r="N32" s="335"/>
      <c r="O32" s="335"/>
      <c r="P32" s="335"/>
      <c r="Q32" s="335"/>
      <c r="R32" s="335"/>
      <c r="S32" s="335"/>
      <c r="T32" s="335"/>
      <c r="U32" s="335"/>
      <c r="V32" s="335"/>
      <c r="W32" s="335"/>
      <c r="X32" s="338"/>
    </row>
  </sheetData>
  <mergeCells count="25">
    <mergeCell ref="Q3:Q5"/>
    <mergeCell ref="N3:O3"/>
    <mergeCell ref="B3:G3"/>
    <mergeCell ref="P3:P5"/>
    <mergeCell ref="S3:S5"/>
    <mergeCell ref="I3:L3"/>
    <mergeCell ref="B4:D5"/>
    <mergeCell ref="M3:M5"/>
    <mergeCell ref="R3:R5"/>
    <mergeCell ref="W3:W5"/>
    <mergeCell ref="N1:X1"/>
    <mergeCell ref="A2:X2"/>
    <mergeCell ref="X3:X5"/>
    <mergeCell ref="L4:L5"/>
    <mergeCell ref="O4:O5"/>
    <mergeCell ref="A3:A5"/>
    <mergeCell ref="E4:G5"/>
    <mergeCell ref="I4:I5"/>
    <mergeCell ref="H3:H5"/>
    <mergeCell ref="J4:K4"/>
    <mergeCell ref="A1:M1"/>
    <mergeCell ref="T3:T5"/>
    <mergeCell ref="U3:U5"/>
    <mergeCell ref="N4:N5"/>
    <mergeCell ref="V3:V5"/>
  </mergeCells>
  <printOptions horizontalCentered="1"/>
  <pageMargins left="0.11811023622047245" right="0.11811023622047245" top="0.78740157480314965" bottom="0.39370078740157483" header="0.31496062992125984" footer="0.31496062992125984"/>
  <pageSetup paperSize="9" scale="5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9"/>
  <dimension ref="A1:I34"/>
  <sheetViews>
    <sheetView workbookViewId="0">
      <selection activeCell="K19" sqref="K19"/>
    </sheetView>
  </sheetViews>
  <sheetFormatPr defaultRowHeight="12.75"/>
  <cols>
    <col min="1" max="1" width="10.42578125" customWidth="1"/>
    <col min="2" max="2" width="37.42578125" customWidth="1"/>
    <col min="3" max="4" width="8" customWidth="1"/>
    <col min="5" max="5" width="15.7109375" customWidth="1"/>
    <col min="6" max="6" width="8" customWidth="1"/>
    <col min="7" max="8" width="15.5703125" customWidth="1"/>
    <col min="9" max="9" width="19.85546875" customWidth="1"/>
  </cols>
  <sheetData>
    <row r="1" spans="1:9" ht="15.75">
      <c r="A1" s="565" t="s">
        <v>105</v>
      </c>
      <c r="B1" s="566"/>
      <c r="C1" s="566"/>
      <c r="D1" s="567"/>
      <c r="E1" s="568"/>
      <c r="F1" s="568"/>
      <c r="G1" s="567"/>
      <c r="H1" s="568"/>
      <c r="I1" s="569"/>
    </row>
    <row r="2" spans="1:9" ht="14.25">
      <c r="A2" s="146" t="str">
        <f>QUANT!A2</f>
        <v>BAIRRO</v>
      </c>
      <c r="B2" s="146" t="str">
        <f>RESUMO!B34</f>
        <v>GONÇALO BOTELHO</v>
      </c>
      <c r="C2" s="146"/>
      <c r="D2" s="146"/>
      <c r="E2" s="146"/>
      <c r="F2" s="146"/>
      <c r="G2" s="146"/>
      <c r="H2" s="146"/>
      <c r="I2" s="147"/>
    </row>
    <row r="3" spans="1:9" ht="27.75" customHeight="1">
      <c r="A3" s="570" t="str">
        <f>RESUMO!B35</f>
        <v>Ruas: Jataí, Nereu Botelho e Carlos Gomes</v>
      </c>
      <c r="B3" s="571"/>
      <c r="C3" s="571"/>
      <c r="D3" s="571"/>
      <c r="E3" s="571"/>
      <c r="F3" s="571"/>
      <c r="G3" s="571"/>
      <c r="H3" s="571"/>
      <c r="I3" s="572"/>
    </row>
    <row r="4" spans="1:9">
      <c r="A4" s="573" t="str">
        <f>QUANT!A4</f>
        <v>OBRA: Pavimentação de Vias Urbanas</v>
      </c>
      <c r="B4" s="574"/>
      <c r="C4" s="574"/>
      <c r="D4" s="574"/>
      <c r="E4" s="574"/>
      <c r="F4" s="574"/>
      <c r="G4" s="574"/>
      <c r="H4" s="574"/>
      <c r="I4" s="575"/>
    </row>
    <row r="5" spans="1:9" ht="13.5" thickBot="1">
      <c r="A5" s="578" t="s">
        <v>104</v>
      </c>
      <c r="B5" s="533"/>
      <c r="C5" s="533"/>
      <c r="D5" s="579"/>
      <c r="E5" s="533"/>
      <c r="F5" s="533"/>
      <c r="G5" s="579"/>
      <c r="H5" s="533"/>
      <c r="I5" s="580"/>
    </row>
    <row r="6" spans="1:9" ht="16.5" customHeight="1">
      <c r="A6" s="520" t="s">
        <v>235</v>
      </c>
      <c r="B6" s="521"/>
      <c r="C6" s="521"/>
      <c r="D6" s="521"/>
      <c r="E6" s="521"/>
      <c r="F6" s="521"/>
      <c r="G6" s="521"/>
      <c r="H6" s="521"/>
      <c r="I6" s="522"/>
    </row>
    <row r="7" spans="1:9" ht="16.5" customHeight="1" thickBot="1">
      <c r="A7" s="523"/>
      <c r="B7" s="524"/>
      <c r="C7" s="524"/>
      <c r="D7" s="524"/>
      <c r="E7" s="524"/>
      <c r="F7" s="524"/>
      <c r="G7" s="524"/>
      <c r="H7" s="524"/>
      <c r="I7" s="525"/>
    </row>
    <row r="8" spans="1:9" ht="15">
      <c r="A8" s="576" t="s">
        <v>37</v>
      </c>
      <c r="B8" s="546" t="s">
        <v>0</v>
      </c>
      <c r="C8" s="547"/>
      <c r="D8" s="548"/>
      <c r="E8" s="35" t="s">
        <v>89</v>
      </c>
      <c r="F8" s="35" t="s">
        <v>90</v>
      </c>
      <c r="G8" s="35" t="s">
        <v>91</v>
      </c>
      <c r="H8" s="35" t="s">
        <v>92</v>
      </c>
      <c r="I8" s="36" t="s">
        <v>93</v>
      </c>
    </row>
    <row r="9" spans="1:9" ht="15.75" thickBot="1">
      <c r="A9" s="577"/>
      <c r="B9" s="549"/>
      <c r="C9" s="550"/>
      <c r="D9" s="551"/>
      <c r="E9" s="37" t="s">
        <v>94</v>
      </c>
      <c r="F9" s="37" t="s">
        <v>95</v>
      </c>
      <c r="G9" s="37" t="s">
        <v>95</v>
      </c>
      <c r="H9" s="37" t="s">
        <v>95</v>
      </c>
      <c r="I9" s="38" t="s">
        <v>95</v>
      </c>
    </row>
    <row r="10" spans="1:9" ht="15">
      <c r="A10" s="30" t="s">
        <v>50</v>
      </c>
      <c r="B10" s="552" t="s">
        <v>96</v>
      </c>
      <c r="C10" s="553"/>
      <c r="D10" s="554"/>
      <c r="E10" s="31">
        <f>SUM(E11:E14)</f>
        <v>6.080000000000001</v>
      </c>
      <c r="F10" s="31"/>
      <c r="G10" s="32"/>
      <c r="H10" s="33"/>
      <c r="I10" s="34"/>
    </row>
    <row r="11" spans="1:9" ht="15">
      <c r="A11" s="13" t="s">
        <v>51</v>
      </c>
      <c r="B11" s="536" t="s">
        <v>97</v>
      </c>
      <c r="C11" s="537"/>
      <c r="D11" s="538"/>
      <c r="E11" s="10">
        <v>4.01</v>
      </c>
      <c r="F11" s="10"/>
      <c r="G11" s="10"/>
      <c r="H11" s="11"/>
      <c r="I11" s="12"/>
    </row>
    <row r="12" spans="1:9" ht="15">
      <c r="A12" s="13" t="s">
        <v>52</v>
      </c>
      <c r="B12" s="57" t="s">
        <v>155</v>
      </c>
      <c r="C12" s="58"/>
      <c r="D12" s="59"/>
      <c r="E12" s="10">
        <v>0.4</v>
      </c>
      <c r="F12" s="10"/>
      <c r="G12" s="10"/>
      <c r="H12" s="11"/>
      <c r="I12" s="12"/>
    </row>
    <row r="13" spans="1:9" ht="15">
      <c r="A13" s="13" t="s">
        <v>98</v>
      </c>
      <c r="B13" s="536" t="s">
        <v>87</v>
      </c>
      <c r="C13" s="537"/>
      <c r="D13" s="538"/>
      <c r="E13" s="10">
        <v>0.56000000000000005</v>
      </c>
      <c r="F13" s="10"/>
      <c r="G13" s="10"/>
      <c r="H13" s="11"/>
      <c r="I13" s="12"/>
    </row>
    <row r="14" spans="1:9" ht="15">
      <c r="A14" s="13" t="s">
        <v>154</v>
      </c>
      <c r="B14" s="536" t="s">
        <v>86</v>
      </c>
      <c r="C14" s="537"/>
      <c r="D14" s="538"/>
      <c r="E14" s="10">
        <v>1.1100000000000001</v>
      </c>
      <c r="F14" s="10"/>
      <c r="G14" s="10"/>
      <c r="H14" s="11"/>
      <c r="I14" s="12"/>
    </row>
    <row r="15" spans="1:9" ht="15">
      <c r="A15" s="14"/>
      <c r="B15" s="562"/>
      <c r="C15" s="563"/>
      <c r="D15" s="564"/>
      <c r="E15" s="15"/>
      <c r="F15" s="16"/>
      <c r="G15" s="15"/>
      <c r="H15" s="17"/>
      <c r="I15" s="18"/>
    </row>
    <row r="16" spans="1:9" ht="15">
      <c r="A16" s="8" t="s">
        <v>38</v>
      </c>
      <c r="B16" s="539" t="s">
        <v>99</v>
      </c>
      <c r="C16" s="537"/>
      <c r="D16" s="538"/>
      <c r="E16" s="9">
        <f>E17</f>
        <v>7.3</v>
      </c>
      <c r="F16" s="9"/>
      <c r="G16" s="10"/>
      <c r="H16" s="11"/>
      <c r="I16" s="12"/>
    </row>
    <row r="17" spans="1:9" ht="15">
      <c r="A17" s="13" t="s">
        <v>49</v>
      </c>
      <c r="B17" s="536" t="s">
        <v>100</v>
      </c>
      <c r="C17" s="537"/>
      <c r="D17" s="538"/>
      <c r="E17" s="10">
        <v>7.3</v>
      </c>
      <c r="F17" s="10"/>
      <c r="G17" s="10"/>
      <c r="H17" s="11"/>
      <c r="I17" s="12"/>
    </row>
    <row r="18" spans="1:9" ht="15">
      <c r="A18" s="19"/>
      <c r="B18" s="557"/>
      <c r="C18" s="558"/>
      <c r="D18" s="559"/>
      <c r="E18" s="20"/>
      <c r="F18" s="21"/>
      <c r="G18" s="20"/>
      <c r="H18" s="22"/>
      <c r="I18" s="23"/>
    </row>
    <row r="19" spans="1:9" ht="15">
      <c r="A19" s="8" t="s">
        <v>39</v>
      </c>
      <c r="B19" s="539" t="s">
        <v>101</v>
      </c>
      <c r="C19" s="537"/>
      <c r="D19" s="538"/>
      <c r="E19" s="9">
        <f>E20+E21+E23+E22</f>
        <v>5.65</v>
      </c>
      <c r="F19" s="9"/>
      <c r="G19" s="10"/>
      <c r="H19" s="24"/>
      <c r="I19" s="12"/>
    </row>
    <row r="20" spans="1:9" ht="15">
      <c r="A20" s="13" t="s">
        <v>47</v>
      </c>
      <c r="B20" s="536" t="s">
        <v>156</v>
      </c>
      <c r="C20" s="537"/>
      <c r="D20" s="538"/>
      <c r="E20" s="41">
        <v>0.65</v>
      </c>
      <c r="F20" s="10"/>
      <c r="G20" s="10"/>
      <c r="H20" s="24"/>
      <c r="I20" s="12"/>
    </row>
    <row r="21" spans="1:9" ht="15">
      <c r="A21" s="13" t="s">
        <v>40</v>
      </c>
      <c r="B21" s="536" t="s">
        <v>157</v>
      </c>
      <c r="C21" s="537"/>
      <c r="D21" s="538"/>
      <c r="E21" s="10">
        <v>3</v>
      </c>
      <c r="F21" s="10"/>
      <c r="G21" s="10"/>
      <c r="H21" s="24"/>
      <c r="I21" s="12"/>
    </row>
    <row r="22" spans="1:9" ht="15">
      <c r="A22" s="13" t="s">
        <v>56</v>
      </c>
      <c r="B22" s="536" t="s">
        <v>158</v>
      </c>
      <c r="C22" s="560"/>
      <c r="D22" s="561"/>
      <c r="E22" s="10">
        <v>2</v>
      </c>
      <c r="F22" s="10"/>
      <c r="G22" s="10"/>
      <c r="H22" s="24"/>
      <c r="I22" s="12"/>
    </row>
    <row r="23" spans="1:9" ht="15">
      <c r="A23" s="13" t="s">
        <v>57</v>
      </c>
      <c r="B23" s="536" t="s">
        <v>88</v>
      </c>
      <c r="C23" s="537"/>
      <c r="D23" s="538"/>
      <c r="E23" s="10">
        <v>0</v>
      </c>
      <c r="F23" s="10"/>
      <c r="G23" s="10"/>
      <c r="H23" s="11"/>
      <c r="I23" s="12"/>
    </row>
    <row r="24" spans="1:9">
      <c r="A24" s="13"/>
      <c r="B24" s="539" t="s">
        <v>102</v>
      </c>
      <c r="C24" s="537"/>
      <c r="D24" s="538"/>
      <c r="E24" s="25"/>
      <c r="F24" s="25"/>
      <c r="G24" s="26"/>
      <c r="H24" s="27"/>
      <c r="I24" s="28"/>
    </row>
    <row r="25" spans="1:9">
      <c r="A25" s="540" t="s">
        <v>103</v>
      </c>
      <c r="B25" s="541"/>
      <c r="C25" s="541"/>
      <c r="D25" s="542"/>
      <c r="E25" s="526">
        <f>TRUNC((((1+((E11+E12+E13)/100))*(1+((E14)/100))*(1+((E16/100)))/(1-((E20+E21+E22+E23)/100)))-1),4)</f>
        <v>0.20699999999999999</v>
      </c>
      <c r="F25" s="555"/>
      <c r="G25" s="555"/>
      <c r="H25" s="555"/>
      <c r="I25" s="534">
        <v>0</v>
      </c>
    </row>
    <row r="26" spans="1:9" ht="23.25" customHeight="1" thickBot="1">
      <c r="A26" s="543"/>
      <c r="B26" s="544"/>
      <c r="C26" s="544"/>
      <c r="D26" s="545"/>
      <c r="E26" s="527"/>
      <c r="F26" s="556"/>
      <c r="G26" s="556"/>
      <c r="H26" s="556"/>
      <c r="I26" s="535"/>
    </row>
    <row r="27" spans="1:9">
      <c r="A27" s="71"/>
      <c r="B27" s="72"/>
      <c r="C27" s="73"/>
      <c r="D27" s="73"/>
      <c r="E27" s="72"/>
      <c r="F27" s="74"/>
      <c r="G27" s="75"/>
      <c r="H27" s="75"/>
      <c r="I27" s="76"/>
    </row>
    <row r="28" spans="1:9" ht="12.75" customHeight="1">
      <c r="A28" s="39" t="s">
        <v>159</v>
      </c>
      <c r="B28" s="77"/>
      <c r="C28" s="29"/>
      <c r="D28" s="29"/>
      <c r="E28" s="29"/>
      <c r="F28" s="61"/>
      <c r="G28" s="64"/>
      <c r="H28" s="62"/>
      <c r="I28" s="63"/>
    </row>
    <row r="29" spans="1:9">
      <c r="A29" s="39"/>
      <c r="B29" s="29"/>
      <c r="C29" s="60"/>
      <c r="D29" s="60"/>
      <c r="E29" s="29"/>
      <c r="F29" s="61"/>
      <c r="G29" s="62"/>
      <c r="H29" s="62"/>
      <c r="I29" s="63"/>
    </row>
    <row r="30" spans="1:9" ht="15.75">
      <c r="A30" s="39"/>
      <c r="B30" s="29"/>
      <c r="C30" s="29"/>
      <c r="D30" s="29"/>
      <c r="E30" s="29"/>
      <c r="F30" s="61"/>
      <c r="G30" s="530"/>
      <c r="H30" s="530"/>
      <c r="I30" s="65"/>
    </row>
    <row r="31" spans="1:9" ht="15.75">
      <c r="A31" s="39"/>
      <c r="B31" s="528"/>
      <c r="C31" s="529"/>
      <c r="D31" s="529"/>
      <c r="E31" s="529"/>
      <c r="F31" s="66"/>
      <c r="G31" s="530"/>
      <c r="H31" s="530"/>
      <c r="I31" s="65"/>
    </row>
    <row r="32" spans="1:9" ht="15.75">
      <c r="A32" s="39"/>
      <c r="B32" s="529"/>
      <c r="C32" s="529"/>
      <c r="D32" s="529"/>
      <c r="E32" s="529"/>
      <c r="F32" s="61"/>
      <c r="G32" s="530"/>
      <c r="H32" s="530"/>
      <c r="I32" s="65"/>
    </row>
    <row r="33" spans="1:9" ht="15.75">
      <c r="A33" s="39"/>
      <c r="B33" s="532"/>
      <c r="C33" s="529"/>
      <c r="D33" s="529"/>
      <c r="E33" s="529"/>
      <c r="F33" s="61"/>
      <c r="G33" s="530"/>
      <c r="H33" s="531"/>
      <c r="I33" s="65"/>
    </row>
    <row r="34" spans="1:9" ht="13.5" thickBot="1">
      <c r="A34" s="40"/>
      <c r="B34" s="533"/>
      <c r="C34" s="533"/>
      <c r="D34" s="533"/>
      <c r="E34" s="533"/>
      <c r="F34" s="67"/>
      <c r="G34" s="68"/>
      <c r="H34" s="69"/>
      <c r="I34" s="70"/>
    </row>
  </sheetData>
  <mergeCells count="37">
    <mergeCell ref="B15:D15"/>
    <mergeCell ref="B16:D16"/>
    <mergeCell ref="B17:D17"/>
    <mergeCell ref="H25:H26"/>
    <mergeCell ref="A1:C1"/>
    <mergeCell ref="D1:F1"/>
    <mergeCell ref="G1:I1"/>
    <mergeCell ref="B11:D11"/>
    <mergeCell ref="B13:D13"/>
    <mergeCell ref="B14:D14"/>
    <mergeCell ref="A3:I3"/>
    <mergeCell ref="A4:I4"/>
    <mergeCell ref="A8:A9"/>
    <mergeCell ref="A5:C5"/>
    <mergeCell ref="D5:F5"/>
    <mergeCell ref="G5:I5"/>
    <mergeCell ref="B18:D18"/>
    <mergeCell ref="B19:D19"/>
    <mergeCell ref="B20:D20"/>
    <mergeCell ref="B21:D21"/>
    <mergeCell ref="B22:D22"/>
    <mergeCell ref="A6:I7"/>
    <mergeCell ref="E25:E26"/>
    <mergeCell ref="B31:E32"/>
    <mergeCell ref="G32:G33"/>
    <mergeCell ref="H32:H33"/>
    <mergeCell ref="B33:E34"/>
    <mergeCell ref="G30:G31"/>
    <mergeCell ref="H30:H31"/>
    <mergeCell ref="I25:I26"/>
    <mergeCell ref="B23:D23"/>
    <mergeCell ref="B24:D24"/>
    <mergeCell ref="A25:D26"/>
    <mergeCell ref="B8:D9"/>
    <mergeCell ref="B10:D10"/>
    <mergeCell ref="F25:F26"/>
    <mergeCell ref="G25:G26"/>
  </mergeCells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10"/>
  <dimension ref="A1:I34"/>
  <sheetViews>
    <sheetView workbookViewId="0">
      <selection activeCell="K30" sqref="K30"/>
    </sheetView>
  </sheetViews>
  <sheetFormatPr defaultRowHeight="12.75"/>
  <cols>
    <col min="1" max="1" width="11.7109375" customWidth="1"/>
    <col min="2" max="2" width="37.42578125" customWidth="1"/>
    <col min="3" max="4" width="8" customWidth="1"/>
    <col min="5" max="5" width="15.7109375" customWidth="1"/>
    <col min="6" max="6" width="8" customWidth="1"/>
    <col min="7" max="8" width="15.5703125" customWidth="1"/>
    <col min="9" max="9" width="19.85546875" customWidth="1"/>
  </cols>
  <sheetData>
    <row r="1" spans="1:9" ht="15.75">
      <c r="A1" s="587" t="s">
        <v>105</v>
      </c>
      <c r="B1" s="588"/>
      <c r="C1" s="588"/>
      <c r="D1" s="589"/>
      <c r="E1" s="588"/>
      <c r="F1" s="588"/>
      <c r="G1" s="589"/>
      <c r="H1" s="588"/>
      <c r="I1" s="590"/>
    </row>
    <row r="2" spans="1:9" ht="15.75">
      <c r="A2" s="148" t="str">
        <f>RESUMO!A34</f>
        <v>BAIRRO</v>
      </c>
      <c r="B2" s="149" t="str">
        <f>RESUMO!B34</f>
        <v>GONÇALO BOTELHO</v>
      </c>
      <c r="C2" s="149"/>
      <c r="D2" s="585"/>
      <c r="E2" s="591"/>
      <c r="F2" s="591"/>
      <c r="G2" s="585"/>
      <c r="H2" s="591"/>
      <c r="I2" s="592"/>
    </row>
    <row r="3" spans="1:9" ht="30" customHeight="1">
      <c r="A3" s="581" t="str">
        <f>RESUMO!B35</f>
        <v>Ruas: Jataí, Nereu Botelho e Carlos Gomes</v>
      </c>
      <c r="B3" s="582"/>
      <c r="C3" s="582"/>
      <c r="D3" s="582"/>
      <c r="E3" s="582"/>
      <c r="F3" s="582"/>
      <c r="G3" s="582"/>
      <c r="H3" s="582"/>
      <c r="I3" s="583"/>
    </row>
    <row r="4" spans="1:9" ht="15.75">
      <c r="A4" s="584" t="str">
        <f>QUANT!A4</f>
        <v>OBRA: Pavimentação de Vias Urbanas</v>
      </c>
      <c r="B4" s="585"/>
      <c r="C4" s="585"/>
      <c r="D4" s="585"/>
      <c r="E4" s="585"/>
      <c r="F4" s="585"/>
      <c r="G4" s="585"/>
      <c r="H4" s="585"/>
      <c r="I4" s="586"/>
    </row>
    <row r="5" spans="1:9" ht="13.5" thickBot="1">
      <c r="A5" s="578" t="s">
        <v>104</v>
      </c>
      <c r="B5" s="533"/>
      <c r="C5" s="533"/>
      <c r="D5" s="579"/>
      <c r="E5" s="533"/>
      <c r="F5" s="533"/>
      <c r="G5" s="579"/>
      <c r="H5" s="533"/>
      <c r="I5" s="580"/>
    </row>
    <row r="6" spans="1:9" ht="16.5" customHeight="1">
      <c r="A6" s="520" t="s">
        <v>235</v>
      </c>
      <c r="B6" s="521"/>
      <c r="C6" s="521"/>
      <c r="D6" s="521"/>
      <c r="E6" s="521"/>
      <c r="F6" s="521"/>
      <c r="G6" s="521"/>
      <c r="H6" s="521"/>
      <c r="I6" s="522"/>
    </row>
    <row r="7" spans="1:9" ht="16.5" customHeight="1" thickBot="1">
      <c r="A7" s="523"/>
      <c r="B7" s="524"/>
      <c r="C7" s="524"/>
      <c r="D7" s="524"/>
      <c r="E7" s="524"/>
      <c r="F7" s="524"/>
      <c r="G7" s="524"/>
      <c r="H7" s="524"/>
      <c r="I7" s="525"/>
    </row>
    <row r="8" spans="1:9" ht="15">
      <c r="A8" s="576" t="s">
        <v>37</v>
      </c>
      <c r="B8" s="546" t="s">
        <v>0</v>
      </c>
      <c r="C8" s="547"/>
      <c r="D8" s="548"/>
      <c r="E8" s="35" t="s">
        <v>89</v>
      </c>
      <c r="F8" s="35" t="s">
        <v>90</v>
      </c>
      <c r="G8" s="35" t="s">
        <v>91</v>
      </c>
      <c r="H8" s="35" t="s">
        <v>92</v>
      </c>
      <c r="I8" s="36" t="s">
        <v>93</v>
      </c>
    </row>
    <row r="9" spans="1:9" ht="15.75" thickBot="1">
      <c r="A9" s="577"/>
      <c r="B9" s="549"/>
      <c r="C9" s="550"/>
      <c r="D9" s="551"/>
      <c r="E9" s="37" t="s">
        <v>94</v>
      </c>
      <c r="F9" s="37" t="s">
        <v>95</v>
      </c>
      <c r="G9" s="37" t="s">
        <v>95</v>
      </c>
      <c r="H9" s="37" t="s">
        <v>95</v>
      </c>
      <c r="I9" s="38" t="s">
        <v>95</v>
      </c>
    </row>
    <row r="10" spans="1:9" ht="15">
      <c r="A10" s="30" t="s">
        <v>50</v>
      </c>
      <c r="B10" s="552" t="s">
        <v>96</v>
      </c>
      <c r="C10" s="553"/>
      <c r="D10" s="554"/>
      <c r="E10" s="31">
        <f>SUM(E11:E14)</f>
        <v>5.63</v>
      </c>
      <c r="F10" s="31"/>
      <c r="G10" s="32"/>
      <c r="H10" s="33"/>
      <c r="I10" s="34"/>
    </row>
    <row r="11" spans="1:9" ht="15">
      <c r="A11" s="13" t="s">
        <v>51</v>
      </c>
      <c r="B11" s="536" t="s">
        <v>97</v>
      </c>
      <c r="C11" s="537"/>
      <c r="D11" s="538"/>
      <c r="E11" s="10">
        <v>3.45</v>
      </c>
      <c r="F11" s="10"/>
      <c r="G11" s="10"/>
      <c r="H11" s="11"/>
      <c r="I11" s="12"/>
    </row>
    <row r="12" spans="1:9" ht="15">
      <c r="A12" s="13" t="s">
        <v>52</v>
      </c>
      <c r="B12" s="57" t="s">
        <v>155</v>
      </c>
      <c r="C12" s="58"/>
      <c r="D12" s="59"/>
      <c r="E12" s="10">
        <v>0.48</v>
      </c>
      <c r="F12" s="10"/>
      <c r="G12" s="10"/>
      <c r="H12" s="11"/>
      <c r="I12" s="12"/>
    </row>
    <row r="13" spans="1:9" ht="15">
      <c r="A13" s="13" t="s">
        <v>98</v>
      </c>
      <c r="B13" s="536" t="s">
        <v>87</v>
      </c>
      <c r="C13" s="537"/>
      <c r="D13" s="538"/>
      <c r="E13" s="10">
        <v>0.85</v>
      </c>
      <c r="F13" s="10"/>
      <c r="G13" s="10"/>
      <c r="H13" s="11"/>
      <c r="I13" s="12"/>
    </row>
    <row r="14" spans="1:9" ht="15">
      <c r="A14" s="13" t="s">
        <v>154</v>
      </c>
      <c r="B14" s="536" t="s">
        <v>86</v>
      </c>
      <c r="C14" s="537"/>
      <c r="D14" s="538"/>
      <c r="E14" s="10">
        <v>0.85</v>
      </c>
      <c r="F14" s="10"/>
      <c r="G14" s="10"/>
      <c r="H14" s="11"/>
      <c r="I14" s="12"/>
    </row>
    <row r="15" spans="1:9" ht="15">
      <c r="A15" s="14"/>
      <c r="B15" s="562"/>
      <c r="C15" s="563"/>
      <c r="D15" s="564"/>
      <c r="E15" s="15"/>
      <c r="F15" s="16"/>
      <c r="G15" s="15"/>
      <c r="H15" s="17"/>
      <c r="I15" s="18"/>
    </row>
    <row r="16" spans="1:9" ht="15">
      <c r="A16" s="8" t="s">
        <v>38</v>
      </c>
      <c r="B16" s="539" t="s">
        <v>99</v>
      </c>
      <c r="C16" s="537"/>
      <c r="D16" s="538"/>
      <c r="E16" s="9">
        <f>E17</f>
        <v>5.1100000000000003</v>
      </c>
      <c r="F16" s="9"/>
      <c r="G16" s="10"/>
      <c r="H16" s="11"/>
      <c r="I16" s="12"/>
    </row>
    <row r="17" spans="1:9" ht="15">
      <c r="A17" s="13" t="s">
        <v>49</v>
      </c>
      <c r="B17" s="536" t="s">
        <v>100</v>
      </c>
      <c r="C17" s="537"/>
      <c r="D17" s="538"/>
      <c r="E17" s="10">
        <v>5.1100000000000003</v>
      </c>
      <c r="F17" s="10"/>
      <c r="G17" s="10"/>
      <c r="H17" s="11"/>
      <c r="I17" s="12"/>
    </row>
    <row r="18" spans="1:9" ht="15">
      <c r="A18" s="19"/>
      <c r="B18" s="557"/>
      <c r="C18" s="558"/>
      <c r="D18" s="559"/>
      <c r="E18" s="20"/>
      <c r="F18" s="21"/>
      <c r="G18" s="20"/>
      <c r="H18" s="22"/>
      <c r="I18" s="23"/>
    </row>
    <row r="19" spans="1:9" ht="15">
      <c r="A19" s="8" t="s">
        <v>39</v>
      </c>
      <c r="B19" s="539" t="s">
        <v>101</v>
      </c>
      <c r="C19" s="537"/>
      <c r="D19" s="538"/>
      <c r="E19" s="9">
        <f>E20+E21+E23+E22</f>
        <v>3.65</v>
      </c>
      <c r="F19" s="9"/>
      <c r="G19" s="10"/>
      <c r="H19" s="24"/>
      <c r="I19" s="12"/>
    </row>
    <row r="20" spans="1:9" ht="15">
      <c r="A20" s="13" t="s">
        <v>47</v>
      </c>
      <c r="B20" s="536" t="s">
        <v>156</v>
      </c>
      <c r="C20" s="537"/>
      <c r="D20" s="538"/>
      <c r="E20" s="41">
        <v>0.65</v>
      </c>
      <c r="F20" s="10"/>
      <c r="G20" s="10"/>
      <c r="H20" s="24"/>
      <c r="I20" s="12"/>
    </row>
    <row r="21" spans="1:9" ht="15">
      <c r="A21" s="13" t="s">
        <v>40</v>
      </c>
      <c r="B21" s="536" t="s">
        <v>157</v>
      </c>
      <c r="C21" s="537"/>
      <c r="D21" s="538"/>
      <c r="E21" s="10">
        <v>3</v>
      </c>
      <c r="F21" s="10"/>
      <c r="G21" s="10"/>
      <c r="H21" s="24"/>
      <c r="I21" s="12"/>
    </row>
    <row r="22" spans="1:9" ht="15">
      <c r="A22" s="13" t="s">
        <v>56</v>
      </c>
      <c r="B22" s="536" t="s">
        <v>158</v>
      </c>
      <c r="C22" s="560"/>
      <c r="D22" s="561"/>
      <c r="E22" s="10">
        <v>0</v>
      </c>
      <c r="F22" s="10"/>
      <c r="G22" s="10"/>
      <c r="H22" s="24"/>
      <c r="I22" s="12"/>
    </row>
    <row r="23" spans="1:9" ht="15">
      <c r="A23" s="13" t="s">
        <v>57</v>
      </c>
      <c r="B23" s="536" t="s">
        <v>88</v>
      </c>
      <c r="C23" s="537"/>
      <c r="D23" s="538"/>
      <c r="E23" s="10">
        <v>0</v>
      </c>
      <c r="F23" s="10"/>
      <c r="G23" s="10"/>
      <c r="H23" s="11"/>
      <c r="I23" s="12"/>
    </row>
    <row r="24" spans="1:9">
      <c r="A24" s="13"/>
      <c r="B24" s="539" t="s">
        <v>102</v>
      </c>
      <c r="C24" s="537"/>
      <c r="D24" s="538"/>
      <c r="E24" s="25"/>
      <c r="F24" s="25"/>
      <c r="G24" s="26"/>
      <c r="H24" s="27"/>
      <c r="I24" s="28"/>
    </row>
    <row r="25" spans="1:9">
      <c r="A25" s="540" t="s">
        <v>103</v>
      </c>
      <c r="B25" s="541"/>
      <c r="C25" s="541"/>
      <c r="D25" s="542"/>
      <c r="E25" s="526">
        <f>TRUNC(((((1+((E11+E12+E13)/100))*(1+((E14)/100))*(1+((E16/100)))/(1-((E20+E21+E22+E23)/100)))-1)),4)</f>
        <v>0.1527</v>
      </c>
      <c r="F25" s="555"/>
      <c r="G25" s="555"/>
      <c r="H25" s="555"/>
      <c r="I25" s="534">
        <v>0</v>
      </c>
    </row>
    <row r="26" spans="1:9" ht="23.25" customHeight="1" thickBot="1">
      <c r="A26" s="543"/>
      <c r="B26" s="544"/>
      <c r="C26" s="544"/>
      <c r="D26" s="545"/>
      <c r="E26" s="527"/>
      <c r="F26" s="556"/>
      <c r="G26" s="556"/>
      <c r="H26" s="556"/>
      <c r="I26" s="535"/>
    </row>
    <row r="27" spans="1:9">
      <c r="A27" s="71"/>
      <c r="B27" s="72"/>
      <c r="C27" s="73"/>
      <c r="D27" s="73"/>
      <c r="E27" s="72"/>
      <c r="F27" s="74"/>
      <c r="G27" s="75"/>
      <c r="H27" s="75"/>
      <c r="I27" s="76"/>
    </row>
    <row r="28" spans="1:9" ht="12.75" customHeight="1">
      <c r="A28" s="39" t="s">
        <v>159</v>
      </c>
      <c r="B28" s="77"/>
      <c r="C28" s="29"/>
      <c r="D28" s="29"/>
      <c r="E28" s="29"/>
      <c r="F28" s="61"/>
      <c r="G28" s="64"/>
      <c r="H28" s="62"/>
      <c r="I28" s="63"/>
    </row>
    <row r="29" spans="1:9">
      <c r="A29" s="39"/>
      <c r="B29" s="29"/>
      <c r="C29" s="60"/>
      <c r="D29" s="60"/>
      <c r="E29" s="29"/>
      <c r="F29" s="61"/>
      <c r="G29" s="62"/>
      <c r="H29" s="62"/>
      <c r="I29" s="63"/>
    </row>
    <row r="30" spans="1:9" ht="15.75">
      <c r="A30" s="39"/>
      <c r="B30" s="29"/>
      <c r="C30" s="29"/>
      <c r="D30" s="29"/>
      <c r="E30" s="29"/>
      <c r="F30" s="61"/>
      <c r="G30" s="530"/>
      <c r="H30" s="530"/>
      <c r="I30" s="65"/>
    </row>
    <row r="31" spans="1:9" ht="15.75">
      <c r="A31" s="39"/>
      <c r="B31" s="528"/>
      <c r="C31" s="529"/>
      <c r="D31" s="529"/>
      <c r="E31" s="529"/>
      <c r="F31" s="66"/>
      <c r="G31" s="530"/>
      <c r="H31" s="530"/>
      <c r="I31" s="65"/>
    </row>
    <row r="32" spans="1:9" ht="15.75">
      <c r="A32" s="39"/>
      <c r="B32" s="529"/>
      <c r="C32" s="529"/>
      <c r="D32" s="529"/>
      <c r="E32" s="529"/>
      <c r="F32" s="61"/>
      <c r="G32" s="530"/>
      <c r="H32" s="530"/>
      <c r="I32" s="65"/>
    </row>
    <row r="33" spans="1:9" ht="15.75">
      <c r="A33" s="39"/>
      <c r="B33" s="532"/>
      <c r="C33" s="529"/>
      <c r="D33" s="529"/>
      <c r="E33" s="529"/>
      <c r="F33" s="61"/>
      <c r="G33" s="530"/>
      <c r="H33" s="531"/>
      <c r="I33" s="65"/>
    </row>
    <row r="34" spans="1:9" ht="13.5" thickBot="1">
      <c r="A34" s="40"/>
      <c r="B34" s="533"/>
      <c r="C34" s="533"/>
      <c r="D34" s="533"/>
      <c r="E34" s="533"/>
      <c r="F34" s="67"/>
      <c r="G34" s="68"/>
      <c r="H34" s="69"/>
      <c r="I34" s="70"/>
    </row>
  </sheetData>
  <mergeCells count="39">
    <mergeCell ref="G30:G31"/>
    <mergeCell ref="H30:H31"/>
    <mergeCell ref="B31:E32"/>
    <mergeCell ref="G32:G33"/>
    <mergeCell ref="H32:H33"/>
    <mergeCell ref="B33:E34"/>
    <mergeCell ref="E25:E26"/>
    <mergeCell ref="F25:F26"/>
    <mergeCell ref="G25:G26"/>
    <mergeCell ref="H25:H26"/>
    <mergeCell ref="I25:I26"/>
    <mergeCell ref="B21:D21"/>
    <mergeCell ref="B22:D22"/>
    <mergeCell ref="B23:D23"/>
    <mergeCell ref="B24:D24"/>
    <mergeCell ref="A25:D26"/>
    <mergeCell ref="B16:D16"/>
    <mergeCell ref="B17:D17"/>
    <mergeCell ref="B18:D18"/>
    <mergeCell ref="B19:D19"/>
    <mergeCell ref="B20:D20"/>
    <mergeCell ref="B10:D10"/>
    <mergeCell ref="B11:D11"/>
    <mergeCell ref="B13:D13"/>
    <mergeCell ref="B14:D14"/>
    <mergeCell ref="B15:D15"/>
    <mergeCell ref="A5:C5"/>
    <mergeCell ref="D5:F5"/>
    <mergeCell ref="G5:I5"/>
    <mergeCell ref="A6:I7"/>
    <mergeCell ref="A8:A9"/>
    <mergeCell ref="B8:D9"/>
    <mergeCell ref="A3:I3"/>
    <mergeCell ref="A4:I4"/>
    <mergeCell ref="A1:C1"/>
    <mergeCell ref="D1:F1"/>
    <mergeCell ref="G1:I1"/>
    <mergeCell ref="D2:F2"/>
    <mergeCell ref="G2:I2"/>
  </mergeCells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9"/>
  <sheetViews>
    <sheetView workbookViewId="0">
      <selection activeCell="C22" sqref="C22"/>
    </sheetView>
  </sheetViews>
  <sheetFormatPr defaultRowHeight="12.75"/>
  <cols>
    <col min="1" max="1" width="3.42578125" bestFit="1" customWidth="1"/>
    <col min="2" max="2" width="11.42578125" bestFit="1" customWidth="1"/>
    <col min="3" max="3" width="68.5703125" bestFit="1" customWidth="1"/>
    <col min="4" max="4" width="34.28515625" bestFit="1" customWidth="1"/>
    <col min="5" max="5" width="11.42578125" bestFit="1" customWidth="1"/>
    <col min="6" max="6" width="14.5703125" customWidth="1"/>
    <col min="7" max="7" width="13.7109375" bestFit="1" customWidth="1"/>
    <col min="8" max="8" width="15.140625" customWidth="1"/>
  </cols>
  <sheetData>
    <row r="1" spans="1:8" ht="13.5">
      <c r="A1" s="593" t="s">
        <v>242</v>
      </c>
      <c r="B1" s="594"/>
      <c r="C1" s="594"/>
      <c r="D1" s="594"/>
      <c r="E1" s="594"/>
      <c r="F1" s="594"/>
      <c r="G1" s="594"/>
      <c r="H1" s="595"/>
    </row>
    <row r="2" spans="1:8">
      <c r="A2" s="596" t="s">
        <v>243</v>
      </c>
      <c r="B2" s="597"/>
      <c r="C2" s="597" t="s">
        <v>244</v>
      </c>
      <c r="D2" s="598"/>
      <c r="E2" s="598"/>
      <c r="F2" s="598"/>
      <c r="G2" s="598"/>
      <c r="H2" s="599"/>
    </row>
    <row r="3" spans="1:8">
      <c r="A3" s="596" t="s">
        <v>245</v>
      </c>
      <c r="B3" s="597"/>
      <c r="C3" s="597" t="s">
        <v>246</v>
      </c>
      <c r="D3" s="598"/>
      <c r="E3" s="598"/>
      <c r="F3" s="598"/>
      <c r="G3" s="598"/>
      <c r="H3" s="599"/>
    </row>
    <row r="4" spans="1:8">
      <c r="A4" s="596" t="s">
        <v>247</v>
      </c>
      <c r="B4" s="597"/>
      <c r="C4" s="597" t="s">
        <v>248</v>
      </c>
      <c r="D4" s="598"/>
      <c r="E4" s="598"/>
      <c r="F4" s="598"/>
      <c r="G4" s="598"/>
      <c r="H4" s="599"/>
    </row>
    <row r="5" spans="1:8">
      <c r="A5" s="596" t="s">
        <v>249</v>
      </c>
      <c r="B5" s="597"/>
      <c r="C5" s="597" t="s">
        <v>250</v>
      </c>
      <c r="D5" s="598"/>
      <c r="E5" s="598"/>
      <c r="F5" s="598"/>
      <c r="G5" s="598"/>
      <c r="H5" s="599"/>
    </row>
    <row r="6" spans="1:8">
      <c r="A6" s="596" t="s">
        <v>251</v>
      </c>
      <c r="B6" s="597"/>
      <c r="C6" s="597" t="s">
        <v>252</v>
      </c>
      <c r="D6" s="598"/>
      <c r="E6" s="598"/>
      <c r="F6" s="598"/>
      <c r="G6" s="598"/>
      <c r="H6" s="599"/>
    </row>
    <row r="7" spans="1:8">
      <c r="A7" s="596" t="s">
        <v>253</v>
      </c>
      <c r="B7" s="597"/>
      <c r="C7" s="597" t="s">
        <v>254</v>
      </c>
      <c r="D7" s="598"/>
      <c r="E7" s="598"/>
      <c r="F7" s="598"/>
      <c r="G7" s="598"/>
      <c r="H7" s="599"/>
    </row>
    <row r="8" spans="1:8" ht="30">
      <c r="A8" s="110"/>
      <c r="B8" s="111" t="s">
        <v>255</v>
      </c>
      <c r="C8" s="111" t="s">
        <v>245</v>
      </c>
      <c r="D8" s="111" t="s">
        <v>251</v>
      </c>
      <c r="E8" s="111" t="s">
        <v>253</v>
      </c>
      <c r="F8" s="111" t="s">
        <v>256</v>
      </c>
      <c r="G8" s="111" t="s">
        <v>257</v>
      </c>
      <c r="H8" s="112" t="s">
        <v>256</v>
      </c>
    </row>
    <row r="9" spans="1:8" ht="26.25" thickBot="1">
      <c r="A9" s="113" t="s">
        <v>237</v>
      </c>
      <c r="B9" s="114" t="s">
        <v>258</v>
      </c>
      <c r="C9" s="115" t="s">
        <v>259</v>
      </c>
      <c r="D9" s="114" t="s">
        <v>260</v>
      </c>
      <c r="E9" s="114" t="s">
        <v>254</v>
      </c>
      <c r="F9" s="116">
        <v>394.53</v>
      </c>
      <c r="G9" s="114" t="s">
        <v>261</v>
      </c>
      <c r="H9" s="117">
        <v>394.53</v>
      </c>
    </row>
  </sheetData>
  <mergeCells count="13">
    <mergeCell ref="A7:B7"/>
    <mergeCell ref="C7:H7"/>
    <mergeCell ref="A4:B4"/>
    <mergeCell ref="C4:H4"/>
    <mergeCell ref="A5:B5"/>
    <mergeCell ref="C5:H5"/>
    <mergeCell ref="A6:B6"/>
    <mergeCell ref="C6:H6"/>
    <mergeCell ref="A1:H1"/>
    <mergeCell ref="A2:B2"/>
    <mergeCell ref="C2:H2"/>
    <mergeCell ref="A3:B3"/>
    <mergeCell ref="C3:H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5</vt:i4>
      </vt:variant>
    </vt:vector>
  </HeadingPairs>
  <TitlesOfParts>
    <vt:vector size="16" baseType="lpstr">
      <vt:lpstr>RESUMO</vt:lpstr>
      <vt:lpstr>QUANT</vt:lpstr>
      <vt:lpstr>ORÇA </vt:lpstr>
      <vt:lpstr>TRANSP</vt:lpstr>
      <vt:lpstr>CFF</vt:lpstr>
      <vt:lpstr>TERRAP E PAVIM</vt:lpstr>
      <vt:lpstr>BDI</vt:lpstr>
      <vt:lpstr>BDI DIFERENCIADO</vt:lpstr>
      <vt:lpstr>ALUGUEL</vt:lpstr>
      <vt:lpstr>SN HOR_02</vt:lpstr>
      <vt:lpstr>SN VERT_02</vt:lpstr>
      <vt:lpstr>'ORÇA '!Area_de_impressao</vt:lpstr>
      <vt:lpstr>QUANT!Area_de_impressao</vt:lpstr>
      <vt:lpstr>TRANSP!Area_de_impressao</vt:lpstr>
      <vt:lpstr>'ORÇA '!Titulos_de_impressao</vt:lpstr>
      <vt:lpstr>QUANT!Titulos_de_impressao</vt:lpstr>
    </vt:vector>
  </TitlesOfParts>
  <Company>ECP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ECP</dc:creator>
  <cp:lastModifiedBy>Usuario</cp:lastModifiedBy>
  <cp:lastPrinted>2019-05-22T17:54:48Z</cp:lastPrinted>
  <dcterms:created xsi:type="dcterms:W3CDTF">1997-03-06T18:55:11Z</dcterms:created>
  <dcterms:modified xsi:type="dcterms:W3CDTF">2022-11-29T13:42:26Z</dcterms:modified>
</cp:coreProperties>
</file>